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drawings/drawing6.xml" ContentType="application/vnd.openxmlformats-officedocument.drawing+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9.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10.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codeName="{4D1C537B-E38A-612A-F078-A93A15B4B7F4}"/>
  <workbookPr codeName="ThisWorkbook" defaultThemeVersion="124226"/>
  <mc:AlternateContent xmlns:mc="http://schemas.openxmlformats.org/markup-compatibility/2006">
    <mc:Choice Requires="x15">
      <x15ac:absPath xmlns:x15ac="http://schemas.microsoft.com/office/spreadsheetml/2010/11/ac" url="https://esait-my.sharepoint.com/personal/daniel_wischert_esa_int/Documents/Desktop/Calculation Sheets (1)/Calculation Sheets/"/>
    </mc:Choice>
  </mc:AlternateContent>
  <xr:revisionPtr revIDLastSave="83" documentId="13_ncr:1_{ABD3B585-0E34-44B5-A499-60A94F7B827C}" xr6:coauthVersionLast="47" xr6:coauthVersionMax="47" xr10:uidLastSave="{2DB52B02-F705-49DF-B0F8-F329D2191EBE}"/>
  <bookViews>
    <workbookView xWindow="-96" yWindow="-96" windowWidth="23232" windowHeight="13992" tabRatio="787" firstSheet="1" activeTab="1" xr2:uid="{00000000-000D-0000-FFFF-FFFF00000000}"/>
  </bookViews>
  <sheets>
    <sheet name="Workbook Description" sheetId="1" state="hidden" r:id="rId1"/>
    <sheet name="Cover" sheetId="18" r:id="rId2"/>
    <sheet name="Change Log" sheetId="9" r:id="rId3"/>
    <sheet name="Objectives" sheetId="17" r:id="rId4"/>
    <sheet name="Comm - Uplink" sheetId="4" r:id="rId5"/>
    <sheet name="Comm - Downlink" sheetId="5" r:id="rId6"/>
    <sheet name="Comm - Interlink" sheetId="11" r:id="rId7"/>
    <sheet name="Modes" sheetId="13" r:id="rId8"/>
    <sheet name="ESA Ground Systems" sheetId="10" r:id="rId9"/>
    <sheet name="Trade_off" sheetId="16" r:id="rId10"/>
    <sheet name="ProductTreeMain" sheetId="14" r:id="rId11"/>
    <sheet name="Antenna Design" sheetId="19" r:id="rId12"/>
    <sheet name="Constants" sheetId="8" r:id="rId13"/>
    <sheet name="Further Material" sheetId="20" r:id="rId14"/>
  </sheets>
  <functionGroups builtInGroupCount="19"/>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1AU" localSheetId="11">#REF!</definedName>
    <definedName name="_1AU" localSheetId="1">#REF!</definedName>
    <definedName name="_1AU" localSheetId="3">#REF!</definedName>
    <definedName name="_1AU" localSheetId="10">#REF!</definedName>
    <definedName name="_1AU" localSheetId="9">#REF!</definedName>
    <definedName name="_1AU">#REF!</definedName>
    <definedName name="_ecc2" localSheetId="11">#REF!</definedName>
    <definedName name="_ecc2" localSheetId="1">#REF!</definedName>
    <definedName name="_ecc2" localSheetId="9">#REF!</definedName>
    <definedName name="_ecc2">#REF!</definedName>
    <definedName name="absolute_zero" localSheetId="11">#REF!</definedName>
    <definedName name="absolute_zero" localSheetId="1">#REF!</definedName>
    <definedName name="absolute_zero" localSheetId="10">#REF!</definedName>
    <definedName name="absolute_zero" localSheetId="9">#REF!</definedName>
    <definedName name="absolute_zero">#REF!</definedName>
    <definedName name="anscount" hidden="1">6</definedName>
    <definedName name="AOGNC\m\\" localSheetId="11">[1]Parameters!$I$2</definedName>
    <definedName name="AOGNC\m\\">[1]Parameters!$I$2</definedName>
    <definedName name="AOGNC\P\\" localSheetId="11">[1]Parameters!$I$4</definedName>
    <definedName name="AOGNC\P\\">[1]Parameters!$I$4</definedName>
    <definedName name="AOGNC\P_duty_cyc\\" localSheetId="11">[1]Parameters!$I$5</definedName>
    <definedName name="AOGNC\P_duty_cyc\\">[1]Parameters!$I$5</definedName>
    <definedName name="Aperture_diameter" localSheetId="11">'[2]Obs Payload - Optics'!$D$35</definedName>
    <definedName name="Aperture_diameter">'[2]Obs Payload - Optics'!$D$35</definedName>
    <definedName name="atto" localSheetId="11">#REF!</definedName>
    <definedName name="atto" localSheetId="1">#REF!</definedName>
    <definedName name="atto" localSheetId="10">#REF!</definedName>
    <definedName name="atto" localSheetId="9">#REF!</definedName>
    <definedName name="atto">#REF!</definedName>
    <definedName name="AU" localSheetId="11">#REF!</definedName>
    <definedName name="AU" localSheetId="1">#REF!</definedName>
    <definedName name="AU" localSheetId="9">#REF!</definedName>
    <definedName name="AU">#REF!</definedName>
    <definedName name="Author">" "</definedName>
    <definedName name="Avg_Solar_Flux">Constants!$B$33</definedName>
    <definedName name="bmsAddress">""</definedName>
    <definedName name="bmsPhoneFax">""</definedName>
    <definedName name="bmsSitename">""</definedName>
    <definedName name="bmsSitename2">""</definedName>
    <definedName name="Boltzmann_Constant" localSheetId="11">[3]Constants!$B$3</definedName>
    <definedName name="Boltzmann_Constant" localSheetId="12">Constants!$B$3</definedName>
    <definedName name="Boltzmann_Constant" localSheetId="1">[4]Constants!$B$3</definedName>
    <definedName name="Boltzmann_Constant" localSheetId="3">[5]Constants!$B$3</definedName>
    <definedName name="Boltzmann_Constant" localSheetId="10">#REF!</definedName>
    <definedName name="Boltzmann_Constant" localSheetId="9">[5]Constants!$B$3</definedName>
    <definedName name="Boltzmann_Constant">Constants!$B$3</definedName>
    <definedName name="c0" localSheetId="3">#REF!</definedName>
    <definedName name="c0">Constants!$B$1</definedName>
    <definedName name="CDH\m\\" localSheetId="11">[1]Parameters!$I$6</definedName>
    <definedName name="CDH\m\\">[1]Parameters!$I$6</definedName>
    <definedName name="CDH\P\\" localSheetId="11">[1]Parameters!$I$8</definedName>
    <definedName name="CDH\P\\">[1]Parameters!$I$8</definedName>
    <definedName name="CDH\P_duty_cyc\\" localSheetId="11">[1]Parameters!$I$9</definedName>
    <definedName name="CDH\P_duty_cyc\\">[1]Parameters!$I$9</definedName>
    <definedName name="cellname_SUB_aa" localSheetId="11">[6]Subsystem!$B$13</definedName>
    <definedName name="cellname_SUB_aa">[6]Subsystem!$B$13</definedName>
    <definedName name="cellname_SUB_bb" localSheetId="11">[6]Subsystem!$B$10</definedName>
    <definedName name="cellname_SUB_bb">[6]Subsystem!$B$10</definedName>
    <definedName name="cellname_SUB_cc" localSheetId="11">[6]Subsystem!$B$11</definedName>
    <definedName name="cellname_SUB_cc">[6]Subsystem!$B$11</definedName>
    <definedName name="cellname_SUB_dd" localSheetId="11">[6]Subsystem!$B$12</definedName>
    <definedName name="cellname_SUB_dd">[6]Subsystem!$B$12</definedName>
    <definedName name="centi" localSheetId="11">#REF!</definedName>
    <definedName name="centi" localSheetId="1">#REF!</definedName>
    <definedName name="centi" localSheetId="10">#REF!</definedName>
    <definedName name="centi" localSheetId="9">#REF!</definedName>
    <definedName name="centi">#REF!</definedName>
    <definedName name="Classification">"ESA UNCLASSIFIED - For Official Use"</definedName>
    <definedName name="Classification_Caveat">" "</definedName>
    <definedName name="COMM\m\\" localSheetId="11">[1]Parameters!$I$10</definedName>
    <definedName name="COMM\m\\">[1]Parameters!$I$10</definedName>
    <definedName name="COMM\P\\" localSheetId="11">[1]Parameters!$I$12</definedName>
    <definedName name="COMM\P\\">[1]Parameters!$I$12</definedName>
    <definedName name="COMM\P_duty_cyc\\" localSheetId="11">[1]Parameters!$I$13</definedName>
    <definedName name="COMM\P_duty_cyc\\">[1]Parameters!$I$13</definedName>
    <definedName name="Comments">" "</definedName>
    <definedName name="Company">"ESA"</definedName>
    <definedName name="conversion_inch2m" localSheetId="11">#REF!</definedName>
    <definedName name="conversion_inch2m" localSheetId="1">#REF!</definedName>
    <definedName name="conversion_inch2m" localSheetId="10">#REF!</definedName>
    <definedName name="conversion_inch2m" localSheetId="9">#REF!</definedName>
    <definedName name="conversion_inch2m">#REF!</definedName>
    <definedName name="Current_Magnetic_Torquer" localSheetId="11">'[7]Attitude Control - Sizing'!$Q$66</definedName>
    <definedName name="Current_Magnetic_Torquer" localSheetId="3">'[8]Attitude Control - Sizing'!$Q$66</definedName>
    <definedName name="Current_Magnetic_Torquer">'[7]Attitude Control - Sizing'!$Q$66</definedName>
    <definedName name="DBname" localSheetId="11">#REF!</definedName>
    <definedName name="DBname" localSheetId="1">#REF!</definedName>
    <definedName name="DBname" localSheetId="3">#REF!</definedName>
    <definedName name="DBname" localSheetId="10">#REF!</definedName>
    <definedName name="DBname" localSheetId="9">#REF!</definedName>
    <definedName name="DBname">#REF!</definedName>
    <definedName name="deci" localSheetId="11">#REF!</definedName>
    <definedName name="deci" localSheetId="1">#REF!</definedName>
    <definedName name="deci" localSheetId="10">#REF!</definedName>
    <definedName name="deci" localSheetId="9">#REF!</definedName>
    <definedName name="deci">#REF!</definedName>
    <definedName name="deg" localSheetId="11">#REF!</definedName>
    <definedName name="deg" localSheetId="1">#REF!</definedName>
    <definedName name="deg" localSheetId="9">#REF!</definedName>
    <definedName name="deg">#REF!</definedName>
    <definedName name="degpermin" localSheetId="1">#REF!</definedName>
    <definedName name="degpermin" localSheetId="9">#REF!</definedName>
    <definedName name="degpermin">#REF!</definedName>
    <definedName name="degpermin2" localSheetId="1">#REF!</definedName>
    <definedName name="degpermin2" localSheetId="9">#REF!</definedName>
    <definedName name="degpermin2">#REF!</definedName>
    <definedName name="deka" localSheetId="1">#REF!</definedName>
    <definedName name="deka" localSheetId="10">#REF!</definedName>
    <definedName name="deka" localSheetId="9">#REF!</definedName>
    <definedName name="deka">#REF!</definedName>
    <definedName name="departureplanet_OrbitRadius" localSheetId="11">[9]Constants!$B$9</definedName>
    <definedName name="departureplanet_OrbitRadius" localSheetId="1">[10]Constants!$B$9</definedName>
    <definedName name="departureplanet_OrbitRadius">[11]Constants!$B$9</definedName>
    <definedName name="Distribution">" "</definedName>
    <definedName name="Document_type">" "</definedName>
    <definedName name="Earth_conv_IGRF_radi" localSheetId="11">#REF!</definedName>
    <definedName name="Earth_conv_IGRF_radi" localSheetId="1">#REF!</definedName>
    <definedName name="Earth_conv_IGRF_radi" localSheetId="10">#REF!</definedName>
    <definedName name="Earth_conv_IGRF_radi" localSheetId="9">#REF!</definedName>
    <definedName name="Earth_conv_IGRF_radi">#REF!</definedName>
    <definedName name="Earth_dyn_form_factor" localSheetId="11">#REF!</definedName>
    <definedName name="Earth_dyn_form_factor" localSheetId="1">#REF!</definedName>
    <definedName name="Earth_dyn_form_factor" localSheetId="10">#REF!</definedName>
    <definedName name="Earth_dyn_form_factor" localSheetId="9">#REF!</definedName>
    <definedName name="Earth_dyn_form_factor">#REF!</definedName>
    <definedName name="Earth_equator_radi" localSheetId="11">#REF!</definedName>
    <definedName name="Earth_equator_radi" localSheetId="1">#REF!</definedName>
    <definedName name="Earth_equator_radi" localSheetId="10">#REF!</definedName>
    <definedName name="Earth_equator_radi" localSheetId="9">#REF!</definedName>
    <definedName name="Earth_equator_radi">#REF!</definedName>
    <definedName name="Earth_flattening_factor" localSheetId="1">#REF!</definedName>
    <definedName name="Earth_flattening_factor" localSheetId="10">#REF!</definedName>
    <definedName name="Earth_flattening_factor" localSheetId="9">#REF!</definedName>
    <definedName name="Earth_flattening_factor">#REF!</definedName>
    <definedName name="Earth_J2" localSheetId="12">Constants!$B$20</definedName>
    <definedName name="Earth_J2" localSheetId="3">[12]Constants!#REF!</definedName>
    <definedName name="Earth_J2" localSheetId="10">#REF!</definedName>
    <definedName name="Earth_J2" localSheetId="9">#REF!</definedName>
    <definedName name="Earth_J2">Constants!$B$12</definedName>
    <definedName name="Earth_Mag_Moment" localSheetId="12">Constants!$B$28</definedName>
    <definedName name="Earth_Mag_Moment" localSheetId="7">[7]Constants!$B$28</definedName>
    <definedName name="Earth_Mag_Moment" localSheetId="3">[12]Constants!#REF!</definedName>
    <definedName name="Earth_Mag_Moment" localSheetId="10">#REF!</definedName>
    <definedName name="Earth_Mag_Moment" localSheetId="9">#REF!</definedName>
    <definedName name="Earth_Mag_Moment">Constants!$B$28</definedName>
    <definedName name="Earth_mass" localSheetId="11">#REF!</definedName>
    <definedName name="Earth_mass" localSheetId="1">#REF!</definedName>
    <definedName name="Earth_mass" localSheetId="10">#REF!</definedName>
    <definedName name="Earth_mass" localSheetId="9">#REF!</definedName>
    <definedName name="Earth_mass">#REF!</definedName>
    <definedName name="Earth_mean_radi" localSheetId="11">#REF!</definedName>
    <definedName name="Earth_mean_radi" localSheetId="1">#REF!</definedName>
    <definedName name="Earth_mean_radi" localSheetId="10">#REF!</definedName>
    <definedName name="Earth_mean_radi" localSheetId="9">#REF!</definedName>
    <definedName name="Earth_mean_radi">#REF!</definedName>
    <definedName name="Earth_Mu" localSheetId="12">Constants!$B$12</definedName>
    <definedName name="Earth_Mu" localSheetId="7">[7]Constants!$B$12</definedName>
    <definedName name="Earth_Mu" localSheetId="3">[8]Constants!$B$12</definedName>
    <definedName name="Earth_Mu" localSheetId="10">[13]Constants!$B$7</definedName>
    <definedName name="Earth_Mu" localSheetId="9">[14]Constants!$B$12</definedName>
    <definedName name="Earth_Mu">Constants!$B$12</definedName>
    <definedName name="Earth_obl_coeff" localSheetId="11">#REF!</definedName>
    <definedName name="Earth_obl_coeff" localSheetId="1">#REF!</definedName>
    <definedName name="Earth_obl_coeff" localSheetId="10">#REF!</definedName>
    <definedName name="Earth_obl_coeff" localSheetId="9">#REF!</definedName>
    <definedName name="Earth_obl_coeff">#REF!</definedName>
    <definedName name="Earth_OrbitRadius">Constants!$B$9</definedName>
    <definedName name="Earth_OrbPeriod">Constants!$B$10</definedName>
    <definedName name="Earth_pole_radi" localSheetId="11">#REF!</definedName>
    <definedName name="Earth_pole_radi" localSheetId="1">#REF!</definedName>
    <definedName name="Earth_pole_radi" localSheetId="10">#REF!</definedName>
    <definedName name="Earth_pole_radi" localSheetId="9">#REF!</definedName>
    <definedName name="Earth_pole_radi">#REF!</definedName>
    <definedName name="Earth_Radius" localSheetId="11">[3]Constants!$B$11</definedName>
    <definedName name="Earth_Radius" localSheetId="12">Constants!$B$11</definedName>
    <definedName name="Earth_Radius" localSheetId="1">[4]Constants!$B$11</definedName>
    <definedName name="Earth_Radius" localSheetId="7">[7]Constants!$B$11</definedName>
    <definedName name="Earth_Radius" localSheetId="3">[8]Constants!$B$11</definedName>
    <definedName name="Earth_Radius" localSheetId="10">[13]Constants!$B$6</definedName>
    <definedName name="Earth_Radius" localSheetId="9">[14]Constants!$B$11</definedName>
    <definedName name="Earth_Radius">Constants!$B$11</definedName>
    <definedName name="Earth_rotation_rate" localSheetId="11">#REF!</definedName>
    <definedName name="Earth_rotation_rate" localSheetId="1">#REF!</definedName>
    <definedName name="Earth_rotation_rate" localSheetId="10">#REF!</definedName>
    <definedName name="Earth_rotation_rate" localSheetId="9">#REF!</definedName>
    <definedName name="Earth_rotation_rate">#REF!</definedName>
    <definedName name="Earth_SidDay">Constants!$B$13</definedName>
    <definedName name="Earth_SolarDay">Constants!$B$14</definedName>
    <definedName name="Earth_Vel" localSheetId="12">Constants!$B$27</definedName>
    <definedName name="Earth_Vel" localSheetId="3">[12]Constants!#REF!</definedName>
    <definedName name="Earth_Vel" localSheetId="10">#REF!</definedName>
    <definedName name="Earth_Vel" localSheetId="9">#REF!</definedName>
    <definedName name="Earth_Vel">Constants!$B$27</definedName>
    <definedName name="ecc" localSheetId="11">#REF!</definedName>
    <definedName name="ecc" localSheetId="1">#REF!</definedName>
    <definedName name="ecc" localSheetId="3">#REF!</definedName>
    <definedName name="ecc" localSheetId="9">#REF!</definedName>
    <definedName name="ecc">#REF!</definedName>
    <definedName name="elementary_charge" localSheetId="11">#REF!</definedName>
    <definedName name="elementary_charge" localSheetId="1">#REF!</definedName>
    <definedName name="elementary_charge" localSheetId="10">#REF!</definedName>
    <definedName name="elementary_charge" localSheetId="9">#REF!</definedName>
    <definedName name="elementary_charge">#REF!</definedName>
    <definedName name="EPS\m\\" localSheetId="11">[1]Parameters!$I$14</definedName>
    <definedName name="EPS\m\\">[1]Parameters!$I$14</definedName>
    <definedName name="EPS\P\\" localSheetId="11">[1]Parameters!$I$16</definedName>
    <definedName name="EPS\P\\">[1]Parameters!$I$16</definedName>
    <definedName name="EPS\P_duty_cyc\\" localSheetId="11">[1]Parameters!$I$17</definedName>
    <definedName name="EPS\P_duty_cyc\\">[1]Parameters!$I$17</definedName>
    <definedName name="exa" localSheetId="11">#REF!</definedName>
    <definedName name="exa" localSheetId="1">#REF!</definedName>
    <definedName name="exa" localSheetId="10">#REF!</definedName>
    <definedName name="exa" localSheetId="9">#REF!</definedName>
    <definedName name="exa">#REF!</definedName>
    <definedName name="femto" localSheetId="11">#REF!</definedName>
    <definedName name="femto" localSheetId="1">#REF!</definedName>
    <definedName name="femto" localSheetId="10">#REF!</definedName>
    <definedName name="femto" localSheetId="9">#REF!</definedName>
    <definedName name="femto">#REF!</definedName>
    <definedName name="Focal_length" localSheetId="11">'[2]Obs Payload - Optics'!$D$36</definedName>
    <definedName name="Focal_length">'[2]Obs Payload - Optics'!$D$36</definedName>
    <definedName name="g" localSheetId="11">#REF!</definedName>
    <definedName name="g" localSheetId="1">#REF!</definedName>
    <definedName name="g" localSheetId="10">#REF!</definedName>
    <definedName name="g" localSheetId="9">#REF!</definedName>
    <definedName name="g">#REF!</definedName>
    <definedName name="G_Universal" localSheetId="11">#REF!</definedName>
    <definedName name="G_Universal" localSheetId="1">#REF!</definedName>
    <definedName name="G_Universal" localSheetId="10">#REF!</definedName>
    <definedName name="G_Universal" localSheetId="9">#REF!</definedName>
    <definedName name="G_Universal">#REF!</definedName>
    <definedName name="giga" localSheetId="11">#REF!</definedName>
    <definedName name="giga" localSheetId="1">#REF!</definedName>
    <definedName name="giga" localSheetId="10">#REF!</definedName>
    <definedName name="giga" localSheetId="9">#REF!</definedName>
    <definedName name="giga">#REF!</definedName>
    <definedName name="GM_Earth" localSheetId="1">#REF!</definedName>
    <definedName name="GM_Earth" localSheetId="10">#REF!</definedName>
    <definedName name="GM_Earth" localSheetId="9">#REF!</definedName>
    <definedName name="GM_Earth">#REF!</definedName>
    <definedName name="GM_Mars" localSheetId="1">#REF!</definedName>
    <definedName name="GM_Mars" localSheetId="10">#REF!</definedName>
    <definedName name="GM_Mars" localSheetId="9">#REF!</definedName>
    <definedName name="GM_Mars">#REF!</definedName>
    <definedName name="GM_Moon" localSheetId="1">#REF!</definedName>
    <definedName name="GM_Moon" localSheetId="10">#REF!</definedName>
    <definedName name="GM_Moon" localSheetId="9">#REF!</definedName>
    <definedName name="GM_Moon">#REF!</definedName>
    <definedName name="GM_Sun" localSheetId="1">#REF!</definedName>
    <definedName name="GM_Sun" localSheetId="10">#REF!</definedName>
    <definedName name="GM_Sun" localSheetId="9">#REF!</definedName>
    <definedName name="GM_Sun">#REF!</definedName>
    <definedName name="hecto" localSheetId="1">#REF!</definedName>
    <definedName name="hecto" localSheetId="10">#REF!</definedName>
    <definedName name="hecto" localSheetId="9">#REF!</definedName>
    <definedName name="hecto">#REF!</definedName>
    <definedName name="hgeo" localSheetId="1">#REF!</definedName>
    <definedName name="hgeo" localSheetId="9">#REF!</definedName>
    <definedName name="hgeo">#REF!</definedName>
    <definedName name="HTML_CodePage" hidden="1">1252</definedName>
    <definedName name="HTML_Control" localSheetId="11" hidden="1">{"'honey'!$A$1:$M$23"}</definedName>
    <definedName name="HTML_Control" localSheetId="1" hidden="1">{"'honey'!$A$1:$M$23"}</definedName>
    <definedName name="HTML_Control" localSheetId="3" hidden="1">{"'honey'!$A$1:$M$23"}</definedName>
    <definedName name="HTML_Control" localSheetId="10" hidden="1">{"'honey'!$A$1:$M$23"}</definedName>
    <definedName name="HTML_Control" localSheetId="9" hidden="1">{"'honey'!$A$1:$M$23"}</definedName>
    <definedName name="HTML_Control" hidden="1">{"'honey'!$A$1:$M$23"}</definedName>
    <definedName name="HTML_Controlbis" localSheetId="11" hidden="1">{"'honey'!$A$1:$M$23"}</definedName>
    <definedName name="HTML_Controlbis" localSheetId="1" hidden="1">{"'honey'!$A$1:$M$23"}</definedName>
    <definedName name="HTML_Controlbis" localSheetId="3" hidden="1">{"'honey'!$A$1:$M$23"}</definedName>
    <definedName name="HTML_Controlbis" localSheetId="10" hidden="1">{"'honey'!$A$1:$M$23"}</definedName>
    <definedName name="HTML_Controlbis" localSheetId="9"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11">#REF!</definedName>
    <definedName name="inc" localSheetId="1">#REF!</definedName>
    <definedName name="inc" localSheetId="9">#REF!</definedName>
    <definedName name="inc">#REF!</definedName>
    <definedName name="INS\m\\" localSheetId="11">[1]Parameters!$I$18</definedName>
    <definedName name="INS\m\\">[1]Parameters!$I$18</definedName>
    <definedName name="INS\P\\" localSheetId="11">[1]Parameters!$I$20</definedName>
    <definedName name="INS\P\\">[1]Parameters!$I$20</definedName>
    <definedName name="INS\P_duty_cyc\\" localSheetId="11">[1]Parameters!$I$21</definedName>
    <definedName name="INS\P_duty_cyc\\">[1]Parameters!$I$21</definedName>
    <definedName name="Issue">"16/07/2018"</definedName>
    <definedName name="Issue_Date" localSheetId="10">"01/01/2000"</definedName>
    <definedName name="Issue_Date">" "</definedName>
    <definedName name="jtwo" localSheetId="11">#REF!</definedName>
    <definedName name="jtwo" localSheetId="1">#REF!</definedName>
    <definedName name="jtwo" localSheetId="3">#REF!</definedName>
    <definedName name="jtwo" localSheetId="9">#REF!</definedName>
    <definedName name="jtwo">#REF!</definedName>
    <definedName name="K" localSheetId="11">#REF!</definedName>
    <definedName name="K" localSheetId="1">#REF!</definedName>
    <definedName name="K" localSheetId="9">#REF!</definedName>
    <definedName name="K">#REF!</definedName>
    <definedName name="kb" localSheetId="11">#REF!</definedName>
    <definedName name="kb" localSheetId="1">#REF!</definedName>
    <definedName name="kb" localSheetId="9">#REF!</definedName>
    <definedName name="kb">#REF!</definedName>
    <definedName name="Keywords">" "</definedName>
    <definedName name="kilo" localSheetId="11">#REF!</definedName>
    <definedName name="kilo" localSheetId="1">#REF!</definedName>
    <definedName name="kilo" localSheetId="10">#REF!</definedName>
    <definedName name="kilo" localSheetId="9">#REF!</definedName>
    <definedName name="kilo">#REF!</definedName>
    <definedName name="Knudot" localSheetId="11">#REF!</definedName>
    <definedName name="Knudot" localSheetId="1">#REF!</definedName>
    <definedName name="Knudot" localSheetId="9">#REF!</definedName>
    <definedName name="Knudot">#REF!</definedName>
    <definedName name="Knudot2" localSheetId="11">#REF!</definedName>
    <definedName name="Knudot2" localSheetId="1">#REF!</definedName>
    <definedName name="Knudot2" localSheetId="9">#REF!</definedName>
    <definedName name="Knudot2">#REF!</definedName>
    <definedName name="light_year" localSheetId="1">#REF!</definedName>
    <definedName name="light_year" localSheetId="10">#REF!</definedName>
    <definedName name="light_year" localSheetId="9">#REF!</definedName>
    <definedName name="light_year">#REF!</definedName>
    <definedName name="Mars_mass" localSheetId="1">#REF!</definedName>
    <definedName name="Mars_mass" localSheetId="3">#REF!</definedName>
    <definedName name="Mars_mass" localSheetId="10">#REF!</definedName>
    <definedName name="Mars_mass" localSheetId="9">#REF!</definedName>
    <definedName name="Mars_mass">#REF!</definedName>
    <definedName name="Mars_mean_radi" localSheetId="1">#REF!</definedName>
    <definedName name="Mars_mean_radi" localSheetId="10">#REF!</definedName>
    <definedName name="Mars_mean_radi" localSheetId="9">#REF!</definedName>
    <definedName name="Mars_mean_radi">#REF!</definedName>
    <definedName name="Mass" localSheetId="11">#REF!</definedName>
    <definedName name="Mass" localSheetId="1">#REF!</definedName>
    <definedName name="Mass" localSheetId="10">[13]MainTrade!#REF!</definedName>
    <definedName name="Mass" localSheetId="9">#REF!</definedName>
    <definedName name="Mass">#REF!</definedName>
    <definedName name="Max_Solar_Flux">Constants!$B$31</definedName>
    <definedName name="MECH\m\\" localSheetId="11">[1]Parameters!$I$22</definedName>
    <definedName name="MECH\m\\">[1]Parameters!$I$22</definedName>
    <definedName name="MECH\P\\" localSheetId="11">[1]Parameters!$I$24</definedName>
    <definedName name="MECH\P\\">[1]Parameters!$I$24</definedName>
    <definedName name="MECH\P_duty_cyc\\" localSheetId="11">[1]Parameters!$I$25</definedName>
    <definedName name="MECH\P_duty_cyc\\">[1]Parameters!$I$25</definedName>
    <definedName name="mega" localSheetId="11">#REF!</definedName>
    <definedName name="mega" localSheetId="1">#REF!</definedName>
    <definedName name="mega" localSheetId="10">#REF!</definedName>
    <definedName name="mega" localSheetId="9">#REF!</definedName>
    <definedName name="mega">#REF!</definedName>
    <definedName name="micro" localSheetId="11">#REF!</definedName>
    <definedName name="micro" localSheetId="1">#REF!</definedName>
    <definedName name="micro" localSheetId="10">#REF!</definedName>
    <definedName name="micro" localSheetId="9">#REF!</definedName>
    <definedName name="micro">#REF!</definedName>
    <definedName name="milli" localSheetId="11">#REF!</definedName>
    <definedName name="milli" localSheetId="1">#REF!</definedName>
    <definedName name="milli" localSheetId="10">#REF!</definedName>
    <definedName name="milli" localSheetId="9">#REF!</definedName>
    <definedName name="milli">#REF!</definedName>
    <definedName name="Momentum_Wheel_Mass" localSheetId="11">'[7]Attitude Control - Sizing'!$Q$20</definedName>
    <definedName name="Momentum_Wheel_Mass" localSheetId="3">'[8]Attitude Control - Sizing'!$Q$20</definedName>
    <definedName name="Momentum_Wheel_Mass">'[7]Attitude Control - Sizing'!$Q$20</definedName>
    <definedName name="mu" localSheetId="3">#REF!</definedName>
    <definedName name="mu">Constants!$B$12</definedName>
    <definedName name="nano" localSheetId="11">#REF!</definedName>
    <definedName name="nano" localSheetId="1">#REF!</definedName>
    <definedName name="nano" localSheetId="3">#REF!</definedName>
    <definedName name="nano" localSheetId="10">#REF!</definedName>
    <definedName name="nano" localSheetId="9">#REF!</definedName>
    <definedName name="nano">#REF!</definedName>
    <definedName name="Originating_Organisation">" "</definedName>
    <definedName name="para_SUB_aa" localSheetId="11">[6]Subsystem!$A$13</definedName>
    <definedName name="para_SUB_aa">[6]Subsystem!$A$13</definedName>
    <definedName name="para_SUB_bb" localSheetId="11">[6]Subsystem!$A$10</definedName>
    <definedName name="para_SUB_bb">[6]Subsystem!$A$10</definedName>
    <definedName name="para_SUB_cc" localSheetId="11">[6]Subsystem!$A$11</definedName>
    <definedName name="para_SUB_cc">[6]Subsystem!$A$11</definedName>
    <definedName name="para_SUB_dd" localSheetId="11">[6]Subsystem!$A$12</definedName>
    <definedName name="para_SUB_dd">[6]Subsystem!$A$12</definedName>
    <definedName name="PasteSpecial" localSheetId="11">'Antenna Design'!PasteSpecial</definedName>
    <definedName name="PasteSpecial" localSheetId="1">Cover!PasteSpecial</definedName>
    <definedName name="PasteSpecial" localSheetId="3">Objectives!PasteSpecial</definedName>
    <definedName name="PasteSpecial" localSheetId="10">ProductTreeMain!PasteSpecial</definedName>
    <definedName name="PasteSpecial" localSheetId="9">Trade_off!PasteSpecial</definedName>
    <definedName name="PasteSpecial">PasteSpecial</definedName>
    <definedName name="PasteSpecial_3" localSheetId="11">'Antenna Design'!PasteSpecial_3</definedName>
    <definedName name="PasteSpecial_3" localSheetId="1">Cover!PasteSpecial_3</definedName>
    <definedName name="PasteSpecial_3" localSheetId="3">Objectives!PasteSpecial_3</definedName>
    <definedName name="PasteSpecial_3" localSheetId="10">ProductTreeMain!PasteSpecial_3</definedName>
    <definedName name="PasteSpecial_3" localSheetId="9">Trade_off!PasteSpecial_3</definedName>
    <definedName name="PasteSpecial_3">PasteSpecial_3</definedName>
    <definedName name="PasteSpecial_6" localSheetId="11">'Antenna Design'!PasteSpecial_6</definedName>
    <definedName name="PasteSpecial_6" localSheetId="1">Cover!PasteSpecial_6</definedName>
    <definedName name="PasteSpecial_6" localSheetId="3">Objectives!PasteSpecial_6</definedName>
    <definedName name="PasteSpecial_6" localSheetId="10">ProductTreeMain!PasteSpecial_6</definedName>
    <definedName name="PasteSpecial_6" localSheetId="9">Trade_off!PasteSpecial_6</definedName>
    <definedName name="PasteSpecial_6">PasteSpecial_6</definedName>
    <definedName name="PasteSpecial_7" localSheetId="11">'Antenna Design'!PasteSpecial_7</definedName>
    <definedName name="PasteSpecial_7" localSheetId="1">Cover!PasteSpecial_7</definedName>
    <definedName name="PasteSpecial_7" localSheetId="3">Objectives!PasteSpecial_7</definedName>
    <definedName name="PasteSpecial_7" localSheetId="10">ProductTreeMain!PasteSpecial_7</definedName>
    <definedName name="PasteSpecial_7" localSheetId="9">Trade_off!PasteSpecial_7</definedName>
    <definedName name="PasteSpecial_7">PasteSpecial_7</definedName>
    <definedName name="PasteSpecial_8" localSheetId="11">'Antenna Design'!PasteSpecial_8</definedName>
    <definedName name="PasteSpecial_8" localSheetId="1">Cover!PasteSpecial_8</definedName>
    <definedName name="PasteSpecial_8" localSheetId="3">Objectives!PasteSpecial_8</definedName>
    <definedName name="PasteSpecial_8" localSheetId="10">ProductTreeMain!PasteSpecial_8</definedName>
    <definedName name="PasteSpecial_8" localSheetId="9">Trade_off!PasteSpecial_8</definedName>
    <definedName name="PasteSpecial_8">PasteSpecial_8</definedName>
    <definedName name="permeability_vacuum" localSheetId="11">#REF!</definedName>
    <definedName name="permeability_vacuum" localSheetId="1">#REF!</definedName>
    <definedName name="permeability_vacuum" localSheetId="3">#REF!</definedName>
    <definedName name="permeability_vacuum" localSheetId="10">#REF!</definedName>
    <definedName name="permeability_vacuum" localSheetId="9">#REF!</definedName>
    <definedName name="permeability_vacuum">#REF!</definedName>
    <definedName name="permittivity_vacuum" localSheetId="11">#REF!</definedName>
    <definedName name="permittivity_vacuum" localSheetId="1">#REF!</definedName>
    <definedName name="permittivity_vacuum" localSheetId="10">#REF!</definedName>
    <definedName name="permittivity_vacuum" localSheetId="9">#REF!</definedName>
    <definedName name="permittivity_vacuum">#REF!</definedName>
    <definedName name="peta" localSheetId="11">#REF!</definedName>
    <definedName name="peta" localSheetId="1">#REF!</definedName>
    <definedName name="peta" localSheetId="10">#REF!</definedName>
    <definedName name="peta" localSheetId="9">#REF!</definedName>
    <definedName name="peta">#REF!</definedName>
    <definedName name="pi" localSheetId="1">#REF!</definedName>
    <definedName name="pi" localSheetId="10">#REF!</definedName>
    <definedName name="pi" localSheetId="9">#REF!</definedName>
    <definedName name="pi">#REF!</definedName>
    <definedName name="piko" localSheetId="1">#REF!</definedName>
    <definedName name="piko" localSheetId="10">#REF!</definedName>
    <definedName name="piko" localSheetId="9">#REF!</definedName>
    <definedName name="piko">#REF!</definedName>
    <definedName name="Planck_Constant" localSheetId="12">Constants!$B$2</definedName>
    <definedName name="Planck_Constant" localSheetId="3">#REF!</definedName>
    <definedName name="Planck_Constant" localSheetId="10">#REF!</definedName>
    <definedName name="Planck_Constant" localSheetId="9">#REF!</definedName>
    <definedName name="Planck_Constant">Constants!$B$2</definedName>
    <definedName name="Planet_Albedo" localSheetId="3">[15]Constants!$B$32</definedName>
    <definedName name="Planet_Albedo" localSheetId="9">[15]Constants!$B$32</definedName>
    <definedName name="Planet_Albedo">Constants!$B$32</definedName>
    <definedName name="Planet_J2">Constants!$B$20</definedName>
    <definedName name="Planet_Mag_Moment">Constants!$B$28</definedName>
    <definedName name="Planet_MaxIR" localSheetId="9">[15]Constants!$B$29</definedName>
    <definedName name="Planet_MaxIR">Constants!$B$29</definedName>
    <definedName name="Planet_MinIR" localSheetId="9">[15]Constants!$B$30</definedName>
    <definedName name="Planet_MinIR">Constants!$B$30</definedName>
    <definedName name="Planet_MoonNode">Constants!$B$21</definedName>
    <definedName name="Planet_MoonPer">Constants!$B$23</definedName>
    <definedName name="Planet_Mu" localSheetId="10">[16]Constants!$B$19</definedName>
    <definedName name="Planet_Mu" localSheetId="9">[15]Constants!$B$19</definedName>
    <definedName name="Planet_Mu">Constants!$B$19</definedName>
    <definedName name="Planet_OrbitRadius">Constants!$B$16</definedName>
    <definedName name="Planet_OrbPeriod">Constants!$B$17</definedName>
    <definedName name="Planet_Radius" localSheetId="11">[3]Constants!$B$18</definedName>
    <definedName name="Planet_Radius" localSheetId="1">[4]Constants!$B$18</definedName>
    <definedName name="Planet_Radius" localSheetId="7">[7]Constants!$B$18</definedName>
    <definedName name="Planet_Radius" localSheetId="3">[12]Constants!$B$18</definedName>
    <definedName name="Planet_Radius" localSheetId="10">[16]Constants!$B$18</definedName>
    <definedName name="Planet_Radius" localSheetId="9">[15]Constants!$B$18</definedName>
    <definedName name="Planet_Radius">Constants!$B$18</definedName>
    <definedName name="Planet_SidDay">Constants!$B$25</definedName>
    <definedName name="Planet_SolarDay">Constants!$B$26</definedName>
    <definedName name="Planet_SunNode">Constants!$B$22</definedName>
    <definedName name="Planet_SunPer">Constants!$B$24</definedName>
    <definedName name="Planet_Vel">Constants!$B$27</definedName>
    <definedName name="plank" localSheetId="3">#REF!</definedName>
    <definedName name="plank">Constants!$B$2</definedName>
    <definedName name="Pressnt\m\\" localSheetId="11">[17]Parameters!$I$5</definedName>
    <definedName name="Pressnt\m\\" localSheetId="1">[17]Parameters!$I$5</definedName>
    <definedName name="Pressnt\m\\">[15]Parameters!$I$5</definedName>
    <definedName name="_xlnm.Print_Area" localSheetId="5">'Comm - Downlink'!$B$1:$Q$33</definedName>
    <definedName name="_xlnm.Print_Area" localSheetId="6">'Comm - Interlink'!$B$1:$Q$33</definedName>
    <definedName name="_xlnm.Print_Area" localSheetId="4">'Comm - Uplink'!$B$1:$R$42</definedName>
    <definedName name="Prop\m\\" localSheetId="11">[1]Parameters!$I$26</definedName>
    <definedName name="Prop\m\\" localSheetId="9">[15]Parameters!$I$6</definedName>
    <definedName name="Prop\m\\">[1]Parameters!$I$26</definedName>
    <definedName name="Prop\P\\" localSheetId="11">[1]Parameters!$I$28</definedName>
    <definedName name="Prop\P\\">[1]Parameters!$I$28</definedName>
    <definedName name="Prop\P_duty_cyc\\" localSheetId="11">[1]Parameters!$I$29</definedName>
    <definedName name="Prop\P_duty_cyc\\">[1]Parameters!$I$29</definedName>
    <definedName name="Q" localSheetId="11">#REF!</definedName>
    <definedName name="Q" localSheetId="1">#REF!</definedName>
    <definedName name="Q" localSheetId="9">#REF!</definedName>
    <definedName name="Q">#REF!</definedName>
    <definedName name="Q_2" localSheetId="11">#REF!</definedName>
    <definedName name="Q_2" localSheetId="1">#REF!</definedName>
    <definedName name="Q_2" localSheetId="9">#REF!</definedName>
    <definedName name="Q_2">#REF!</definedName>
    <definedName name="Q1_2" localSheetId="11">#REF!</definedName>
    <definedName name="Q1_2" localSheetId="1">#REF!</definedName>
    <definedName name="Q1_2" localSheetId="9">#REF!</definedName>
    <definedName name="Q1_2">#REF!</definedName>
    <definedName name="RadToDeg" localSheetId="3">[14]Constants!$B$40</definedName>
    <definedName name="RadToDeg" localSheetId="9">[14]Constants!$B$40</definedName>
    <definedName name="RadToDeg">Constants!$B$40</definedName>
    <definedName name="Rain_Temp" localSheetId="11">[3]Constants!$B$37</definedName>
    <definedName name="Rain_Temp" localSheetId="12">Constants!$B$37</definedName>
    <definedName name="Rain_Temp" localSheetId="1">[4]Constants!$B$37</definedName>
    <definedName name="Rain_Temp" localSheetId="3">#REF!</definedName>
    <definedName name="Rain_Temp" localSheetId="10">#REF!</definedName>
    <definedName name="Rain_Temp" localSheetId="9">#REF!</definedName>
    <definedName name="Rain_Temp">Constants!$B$37</definedName>
    <definedName name="Re" localSheetId="3">#REF!</definedName>
    <definedName name="Re">Constants!$B$11</definedName>
    <definedName name="Reaction_Wheel_Mass" localSheetId="11">'[7]Attitude Control - Sizing'!$Q$30</definedName>
    <definedName name="Reaction_Wheel_Mass" localSheetId="3">'[8]Attitude Control - Sizing'!$Q$30</definedName>
    <definedName name="Reaction_Wheel_Mass">'[7]Attitude Control - Sizing'!$Q$30</definedName>
    <definedName name="Reference">" "</definedName>
    <definedName name="remark_SUB_aa" localSheetId="11">[6]Subsystem!$H$13</definedName>
    <definedName name="remark_SUB_aa">[6]Subsystem!$H$13</definedName>
    <definedName name="remark_SUB_bb" localSheetId="11">[6]Subsystem!$H$10</definedName>
    <definedName name="remark_SUB_bb">[6]Subsystem!$H$10</definedName>
    <definedName name="remark_SUB_cc" localSheetId="11">[6]Subsystem!$H$11</definedName>
    <definedName name="remark_SUB_cc">[6]Subsystem!$H$11</definedName>
    <definedName name="remark_SUB_dd" localSheetId="11">[6]Subsystem!$H$12</definedName>
    <definedName name="remark_SUB_dd">[6]Subsystem!$H$12</definedName>
    <definedName name="Revision">" "</definedName>
    <definedName name="rgeo" localSheetId="11">#REF!</definedName>
    <definedName name="rgeo" localSheetId="1">#REF!</definedName>
    <definedName name="rgeo" localSheetId="3">#REF!</definedName>
    <definedName name="rgeo" localSheetId="9">#REF!</definedName>
    <definedName name="rgeo">#REF!</definedName>
    <definedName name="sol" localSheetId="11">#REF!</definedName>
    <definedName name="sol" localSheetId="1">#REF!</definedName>
    <definedName name="sol" localSheetId="9">#REF!</definedName>
    <definedName name="sol">#REF!</definedName>
    <definedName name="Solar_Flux" localSheetId="12">Constants!$B$33</definedName>
    <definedName name="Solar_Flux" localSheetId="7">[7]Constants!$B$33</definedName>
    <definedName name="Solar_Flux" localSheetId="3">[8]Constants!$B$33</definedName>
    <definedName name="Solar_Flux" localSheetId="10">#REF!</definedName>
    <definedName name="Solar_Flux" localSheetId="9">#REF!</definedName>
    <definedName name="Solar_Flux">Constants!$B$33</definedName>
    <definedName name="solar_flux_1AU" localSheetId="11">#REF!</definedName>
    <definedName name="solar_flux_1AU" localSheetId="1">#REF!</definedName>
    <definedName name="solar_flux_1AU" localSheetId="3">#REF!</definedName>
    <definedName name="solar_flux_1AU" localSheetId="10">#REF!</definedName>
    <definedName name="solar_flux_1AU" localSheetId="9">#REF!</definedName>
    <definedName name="solar_flux_1AU">#REF!</definedName>
    <definedName name="Solar_mass" localSheetId="11">#REF!</definedName>
    <definedName name="Solar_mass" localSheetId="1">#REF!</definedName>
    <definedName name="Solar_mass" localSheetId="10">#REF!</definedName>
    <definedName name="Solar_mass" localSheetId="9">#REF!</definedName>
    <definedName name="Solar_mass">#REF!</definedName>
    <definedName name="Solar_radius" localSheetId="11">#REF!</definedName>
    <definedName name="Solar_radius" localSheetId="1">#REF!</definedName>
    <definedName name="Solar_radius" localSheetId="10">#REF!</definedName>
    <definedName name="Solar_radius" localSheetId="9">#REF!</definedName>
    <definedName name="Solar_radius">#REF!</definedName>
    <definedName name="Spacecraft\delta_v\\" localSheetId="11">[17]Parameters!$I$2</definedName>
    <definedName name="Spacecraft\delta_v\\" localSheetId="1">[17]Parameters!$I$2</definedName>
    <definedName name="Spacecraft\delta_v\\">[15]Parameters!$I$2</definedName>
    <definedName name="Spacecraft\mass_dry\\" localSheetId="11">[17]Parameters!$I$3</definedName>
    <definedName name="Spacecraft\mass_dry\\" localSheetId="1">[17]Parameters!$I$3</definedName>
    <definedName name="Spacecraft\mass_dry\\">[15]Parameters!$I$3</definedName>
    <definedName name="Spacecraft\mass_wet\\" localSheetId="11">[17]Parameters!$I$4</definedName>
    <definedName name="Spacecraft\mass_wet\\" localSheetId="1">[17]Parameters!$I$4</definedName>
    <definedName name="Spacecraft\mass_wet\\">[15]Parameters!$I$4</definedName>
    <definedName name="Speed_of_Light" localSheetId="11">[3]Constants!$B$1</definedName>
    <definedName name="Speed_of_Light" localSheetId="12">Constants!$B$1</definedName>
    <definedName name="Speed_of_Light" localSheetId="1">[4]Constants!$B$1</definedName>
    <definedName name="Speed_of_Light" localSheetId="7">[7]Constants!$B$1</definedName>
    <definedName name="Speed_of_Light" localSheetId="3">[8]Constants!$B$1</definedName>
    <definedName name="Speed_of_Light" localSheetId="10">#REF!</definedName>
    <definedName name="Speed_of_Light" localSheetId="9">#REF!</definedName>
    <definedName name="Speed_of_Light">Constants!$B$1</definedName>
    <definedName name="Status">" "</definedName>
    <definedName name="Stefan_Boltzmann_Constant" localSheetId="12">Constants!$B$4</definedName>
    <definedName name="Stefan_Boltzmann_Constant" localSheetId="3">#REF!</definedName>
    <definedName name="Stefan_Boltzmann_Constant" localSheetId="10">#REF!</definedName>
    <definedName name="Stefan_Boltzmann_Constant" localSheetId="9">#REF!</definedName>
    <definedName name="Stefan_Boltzmann_Constant">Constants!$B$4</definedName>
    <definedName name="Stefan_Boltzmann_Constants" localSheetId="3">[15]Constants!$B$4</definedName>
    <definedName name="Stefan_Boltzmann_Constants" localSheetId="9">[15]Constants!$B$4</definedName>
    <definedName name="Stefan_Boltzmann_Constants">Constants!$B$4</definedName>
    <definedName name="step" localSheetId="11">#REF!</definedName>
    <definedName name="step" localSheetId="1">#REF!</definedName>
    <definedName name="step" localSheetId="3">#REF!</definedName>
    <definedName name="step" localSheetId="9">#REF!</definedName>
    <definedName name="step">#REF!</definedName>
    <definedName name="STR\m\\" localSheetId="11">[1]Parameters!$I$30</definedName>
    <definedName name="STR\m\\">[1]Parameters!$I$30</definedName>
    <definedName name="STR\P\\" localSheetId="11">[1]Parameters!$I$32</definedName>
    <definedName name="STR\P\\">[1]Parameters!$I$32</definedName>
    <definedName name="STR\P_duty_cyc\\" localSheetId="11">[1]Parameters!$I$33</definedName>
    <definedName name="STR\P_duty_cyc\\">[1]Parameters!$I$33</definedName>
    <definedName name="SUB_aa" localSheetId="11">[6]Subsystem!$G$13</definedName>
    <definedName name="SUB_aa">[6]Subsystem!$G$13</definedName>
    <definedName name="SUB_bb" localSheetId="11">[6]Subsystem!$G$10</definedName>
    <definedName name="SUB_bb">[6]Subsystem!$G$10</definedName>
    <definedName name="SUB_cc" localSheetId="11">[6]Subsystem!$G$11</definedName>
    <definedName name="SUB_cc">[6]Subsystem!$G$11</definedName>
    <definedName name="SUB_dd" localSheetId="11">[6]Subsystem!$G$12</definedName>
    <definedName name="SUB_dd">[6]Subsystem!$G$12</definedName>
    <definedName name="Subject">" "</definedName>
    <definedName name="Sun_Mu">Constants!$B$7</definedName>
    <definedName name="Sun_radi_1AU" localSheetId="11">#REF!</definedName>
    <definedName name="Sun_radi_1AU" localSheetId="1">#REF!</definedName>
    <definedName name="Sun_radi_1AU" localSheetId="10">#REF!</definedName>
    <definedName name="Sun_radi_1AU" localSheetId="9">#REF!</definedName>
    <definedName name="Sun_radi_1AU">#REF!</definedName>
    <definedName name="temp_deep_space" localSheetId="11">#REF!</definedName>
    <definedName name="temp_deep_space" localSheetId="1">#REF!</definedName>
    <definedName name="temp_deep_space" localSheetId="10">#REF!</definedName>
    <definedName name="temp_deep_space" localSheetId="9">#REF!</definedName>
    <definedName name="temp_deep_space">#REF!</definedName>
    <definedName name="tera" localSheetId="11">#REF!</definedName>
    <definedName name="tera" localSheetId="1">#REF!</definedName>
    <definedName name="tera" localSheetId="10">#REF!</definedName>
    <definedName name="tera" localSheetId="9">#REF!</definedName>
    <definedName name="tera">#REF!</definedName>
    <definedName name="THR\m\\" localSheetId="11">[1]Parameters!$I$34</definedName>
    <definedName name="THR\m\\">[1]Parameters!$I$34</definedName>
    <definedName name="THR\P\\" localSheetId="11">[1]Parameters!$I$36</definedName>
    <definedName name="THR\P\\">[1]Parameters!$I$36</definedName>
    <definedName name="THR\P_duty_cyc\\" localSheetId="11">[1]Parameters!$I$37</definedName>
    <definedName name="THR\P_duty_cyc\\">[1]Parameters!$I$37</definedName>
    <definedName name="Title">""</definedName>
    <definedName name="tsid" localSheetId="11">#REF!</definedName>
    <definedName name="tsid" localSheetId="1">#REF!</definedName>
    <definedName name="tsid" localSheetId="3">#REF!</definedName>
    <definedName name="tsid" localSheetId="9">#REF!</definedName>
    <definedName name="tsid">#REF!</definedName>
    <definedName name="units_SUB_aa" localSheetId="11">[6]Subsystem!$E$13</definedName>
    <definedName name="units_SUB_aa">[6]Subsystem!$E$13</definedName>
    <definedName name="units_SUB_bb" localSheetId="11">[6]Subsystem!$E$10</definedName>
    <definedName name="units_SUB_bb">[6]Subsystem!$E$10</definedName>
    <definedName name="units_SUB_cc" localSheetId="11">[6]Subsystem!$E$11</definedName>
    <definedName name="units_SUB_cc">[6]Subsystem!$E$11</definedName>
    <definedName name="units_SUB_dd" localSheetId="11">[6]Subsystem!$E$12</definedName>
    <definedName name="units_SUB_dd">[6]Subsystem!$E$12</definedName>
    <definedName name="ve" localSheetId="3">#REF!</definedName>
    <definedName name="ve">Constants!$B$27</definedName>
    <definedName name="yocto" localSheetId="11">#REF!</definedName>
    <definedName name="yocto" localSheetId="1">#REF!</definedName>
    <definedName name="yocto" localSheetId="3">#REF!</definedName>
    <definedName name="yocto" localSheetId="10">#REF!</definedName>
    <definedName name="yocto" localSheetId="9">#REF!</definedName>
    <definedName name="yocto">#REF!</definedName>
    <definedName name="yotta" localSheetId="11">#REF!</definedName>
    <definedName name="yotta" localSheetId="1">#REF!</definedName>
    <definedName name="yotta" localSheetId="10">#REF!</definedName>
    <definedName name="yotta" localSheetId="9">#REF!</definedName>
    <definedName name="yotta">#REF!</definedName>
    <definedName name="zepto" localSheetId="11">#REF!</definedName>
    <definedName name="zepto" localSheetId="1">#REF!</definedName>
    <definedName name="zepto" localSheetId="10">#REF!</definedName>
    <definedName name="zepto" localSheetId="9">#REF!</definedName>
    <definedName name="zepto">#REF!</definedName>
    <definedName name="zetta" localSheetId="1">#REF!</definedName>
    <definedName name="zetta" localSheetId="10">#REF!</definedName>
    <definedName name="zetta" localSheetId="9">#REF!</definedName>
    <definedName name="zet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40" i="19" l="1"/>
  <c r="K14" i="19" s="1"/>
  <c r="C36" i="19"/>
  <c r="C41" i="19" s="1"/>
  <c r="C33" i="19"/>
  <c r="C31" i="19"/>
  <c r="C32" i="19" s="1"/>
  <c r="C30" i="19"/>
  <c r="J21" i="19"/>
  <c r="J23" i="19" s="1"/>
  <c r="K11" i="19"/>
  <c r="D9" i="19"/>
  <c r="D10" i="19" s="1"/>
  <c r="D13" i="19" l="1"/>
  <c r="D11" i="19"/>
  <c r="C37" i="19"/>
  <c r="C38" i="19" s="1"/>
  <c r="C35" i="19"/>
  <c r="W39" i="19"/>
  <c r="K13" i="19"/>
  <c r="D19" i="19"/>
  <c r="D20" i="19" s="1"/>
  <c r="D21" i="19" s="1"/>
  <c r="C40" i="19"/>
  <c r="C42" i="19" s="1"/>
  <c r="C43" i="19" s="1"/>
  <c r="C34" i="19"/>
  <c r="J22" i="19"/>
  <c r="B26" i="16"/>
  <c r="M26" i="16" s="1"/>
  <c r="B25" i="16"/>
  <c r="R40" i="16" s="1"/>
  <c r="B24" i="16"/>
  <c r="P24" i="16" s="1"/>
  <c r="N23" i="16"/>
  <c r="B23" i="16"/>
  <c r="R38" i="16" s="1"/>
  <c r="B22" i="16"/>
  <c r="R37" i="16" s="1"/>
  <c r="B21" i="16"/>
  <c r="B20" i="16"/>
  <c r="B19" i="16"/>
  <c r="E16" i="16" s="1"/>
  <c r="E18" i="16" s="1"/>
  <c r="D19" i="16" s="1"/>
  <c r="B18" i="16"/>
  <c r="D16" i="16" s="1"/>
  <c r="D17" i="16" s="1"/>
  <c r="C18" i="16" s="1"/>
  <c r="B17" i="16"/>
  <c r="L16" i="16"/>
  <c r="L22" i="16" s="1"/>
  <c r="H26" i="16" s="1"/>
  <c r="I16" i="16"/>
  <c r="I21" i="16" s="1"/>
  <c r="G23" i="16" s="1"/>
  <c r="S13" i="16"/>
  <c r="Q13" i="16"/>
  <c r="O13" i="16"/>
  <c r="M13" i="16"/>
  <c r="K13" i="16"/>
  <c r="I13" i="16"/>
  <c r="G13" i="16"/>
  <c r="E13" i="16"/>
  <c r="C13" i="16"/>
  <c r="C44" i="19" l="1"/>
  <c r="M22" i="16"/>
  <c r="H16" i="16"/>
  <c r="H18" i="16" s="1"/>
  <c r="D22" i="16" s="1"/>
  <c r="N26" i="16"/>
  <c r="N22" i="16"/>
  <c r="B33" i="16"/>
  <c r="I18" i="16"/>
  <c r="D23" i="16" s="1"/>
  <c r="B37" i="16"/>
  <c r="E17" i="16"/>
  <c r="C19" i="16" s="1"/>
  <c r="I22" i="16"/>
  <c r="H23" i="16" s="1"/>
  <c r="M23" i="16"/>
  <c r="B41" i="16"/>
  <c r="H19" i="16"/>
  <c r="E22" i="16" s="1"/>
  <c r="L19" i="16"/>
  <c r="E26" i="16" s="1"/>
  <c r="L23" i="16"/>
  <c r="I26" i="16" s="1"/>
  <c r="H20" i="16"/>
  <c r="F22" i="16" s="1"/>
  <c r="L20" i="16"/>
  <c r="F26" i="16" s="1"/>
  <c r="L24" i="16"/>
  <c r="J26" i="16" s="1"/>
  <c r="P25" i="16"/>
  <c r="B39" i="16"/>
  <c r="F16" i="16"/>
  <c r="J16" i="16"/>
  <c r="H17" i="16"/>
  <c r="C22" i="16" s="1"/>
  <c r="L17" i="16"/>
  <c r="C26" i="16" s="1"/>
  <c r="I20" i="16"/>
  <c r="F23" i="16" s="1"/>
  <c r="L21" i="16"/>
  <c r="G26" i="16" s="1"/>
  <c r="P22" i="16"/>
  <c r="M24" i="16"/>
  <c r="L25" i="16"/>
  <c r="K26" i="16" s="1"/>
  <c r="P26" i="16"/>
  <c r="R39" i="16"/>
  <c r="R41" i="16"/>
  <c r="I19" i="16"/>
  <c r="E23" i="16" s="1"/>
  <c r="B35" i="16"/>
  <c r="C16" i="16"/>
  <c r="G16" i="16"/>
  <c r="K16" i="16"/>
  <c r="I17" i="16"/>
  <c r="C23" i="16" s="1"/>
  <c r="L18" i="16"/>
  <c r="D26" i="16" s="1"/>
  <c r="P23" i="16"/>
  <c r="N24" i="16"/>
  <c r="M25" i="16"/>
  <c r="B32" i="16"/>
  <c r="B34" i="16"/>
  <c r="B36" i="16"/>
  <c r="B38" i="16"/>
  <c r="B40" i="16"/>
  <c r="N25" i="16"/>
  <c r="J35" i="11"/>
  <c r="K37" i="4"/>
  <c r="J37" i="5"/>
  <c r="H21" i="16" l="1"/>
  <c r="G22" i="16" s="1"/>
  <c r="F19" i="16"/>
  <c r="F18" i="16"/>
  <c r="G18" i="16" s="1"/>
  <c r="D21" i="16" s="1"/>
  <c r="G20" i="16"/>
  <c r="F21" i="16" s="1"/>
  <c r="F17" i="16"/>
  <c r="G17" i="16" s="1"/>
  <c r="C21" i="16" s="1"/>
  <c r="K24" i="16"/>
  <c r="J25" i="16" s="1"/>
  <c r="K23" i="16"/>
  <c r="I25" i="16" s="1"/>
  <c r="K19" i="16"/>
  <c r="E25" i="16" s="1"/>
  <c r="K20" i="16"/>
  <c r="F25" i="16" s="1"/>
  <c r="K22" i="16"/>
  <c r="H25" i="16" s="1"/>
  <c r="K18" i="16"/>
  <c r="D25" i="16" s="1"/>
  <c r="K21" i="16"/>
  <c r="G25" i="16" s="1"/>
  <c r="K17" i="16"/>
  <c r="C25" i="16" s="1"/>
  <c r="J20" i="16"/>
  <c r="F24" i="16" s="1"/>
  <c r="J18" i="16"/>
  <c r="D24" i="16" s="1"/>
  <c r="J21" i="16"/>
  <c r="G24" i="16" s="1"/>
  <c r="J23" i="16"/>
  <c r="I24" i="16" s="1"/>
  <c r="J19" i="16"/>
  <c r="E24" i="16" s="1"/>
  <c r="J22" i="16"/>
  <c r="H24" i="16" s="1"/>
  <c r="J17" i="16"/>
  <c r="C24" i="16" s="1"/>
  <c r="D29" i="11"/>
  <c r="E24" i="4"/>
  <c r="D30" i="5"/>
  <c r="C20" i="16" l="1"/>
  <c r="M17" i="16"/>
  <c r="E20" i="16"/>
  <c r="D20" i="16"/>
  <c r="M18" i="16"/>
  <c r="G19" i="16"/>
  <c r="E21" i="16" s="1"/>
  <c r="M21" i="16" s="1"/>
  <c r="J12" i="11"/>
  <c r="M20" i="16" l="1"/>
  <c r="M19" i="16"/>
  <c r="N17" i="16" s="1"/>
  <c r="K13" i="4"/>
  <c r="N20" i="16" l="1"/>
  <c r="N18" i="16"/>
  <c r="N19" i="16"/>
  <c r="N21" i="16"/>
  <c r="D34" i="5"/>
  <c r="D39" i="5" s="1"/>
  <c r="P19" i="16" l="1"/>
  <c r="R34" i="16" s="1"/>
  <c r="P18" i="16"/>
  <c r="R33" i="16" s="1"/>
  <c r="P20" i="16"/>
  <c r="R35" i="16" s="1"/>
  <c r="P21" i="16"/>
  <c r="R36" i="16" s="1"/>
  <c r="P17" i="16"/>
  <c r="R32" i="16" s="1"/>
  <c r="Q23" i="4"/>
  <c r="P42" i="16" l="1"/>
  <c r="L42" i="16"/>
  <c r="H42" i="16"/>
  <c r="D42" i="16"/>
  <c r="O42" i="16"/>
  <c r="K42" i="16"/>
  <c r="G42" i="16"/>
  <c r="C42" i="16"/>
  <c r="Q42" i="16"/>
  <c r="I42" i="16"/>
  <c r="N42" i="16"/>
  <c r="J42" i="16"/>
  <c r="J43" i="16" s="1"/>
  <c r="F42" i="16"/>
  <c r="M42" i="16"/>
  <c r="E42" i="16"/>
  <c r="J36" i="11"/>
  <c r="D34" i="11"/>
  <c r="D35" i="11" s="1"/>
  <c r="D33" i="11"/>
  <c r="D38" i="11" s="1"/>
  <c r="D19" i="11"/>
  <c r="D16" i="11"/>
  <c r="V13" i="11"/>
  <c r="J13" i="11"/>
  <c r="D10" i="11"/>
  <c r="D9" i="11"/>
  <c r="P7" i="11"/>
  <c r="C43" i="16" l="1"/>
  <c r="E43" i="16"/>
  <c r="H43" i="16"/>
  <c r="M43" i="16"/>
  <c r="I43" i="16"/>
  <c r="K43" i="16"/>
  <c r="L43" i="16"/>
  <c r="D43" i="16"/>
  <c r="N43" i="16"/>
  <c r="G43" i="16"/>
  <c r="F43" i="16"/>
  <c r="Q43" i="16"/>
  <c r="O43" i="16"/>
  <c r="P43" i="16"/>
  <c r="P10" i="11"/>
  <c r="P12" i="11" s="1"/>
  <c r="P13" i="11" s="1"/>
  <c r="P8" i="11"/>
  <c r="D13" i="11"/>
  <c r="D17" i="11" s="1"/>
  <c r="D11" i="11"/>
  <c r="B34" i="8"/>
  <c r="B32" i="8"/>
  <c r="B30" i="8"/>
  <c r="B29" i="8"/>
  <c r="B28" i="8"/>
  <c r="B26" i="8"/>
  <c r="B20" i="8"/>
  <c r="B19" i="8"/>
  <c r="B17" i="8"/>
  <c r="B16" i="8"/>
  <c r="B14" i="8"/>
  <c r="B9" i="8"/>
  <c r="B12" i="8"/>
  <c r="B11" i="8"/>
  <c r="B10" i="8"/>
  <c r="B18" i="8"/>
  <c r="J31" i="11" l="1"/>
  <c r="P23" i="11"/>
  <c r="P31" i="11" s="1"/>
  <c r="J13" i="5" l="1"/>
  <c r="H13" i="5"/>
  <c r="I13" i="4"/>
  <c r="D35" i="5"/>
  <c r="D36" i="5" s="1"/>
  <c r="E29" i="4"/>
  <c r="E30" i="4" s="1"/>
  <c r="W19" i="4"/>
  <c r="J15" i="5" l="1"/>
  <c r="K15" i="4"/>
  <c r="I126" i="8" l="1"/>
  <c r="I125" i="8"/>
  <c r="I124" i="8"/>
  <c r="I123" i="8"/>
  <c r="I122" i="8"/>
  <c r="I121" i="8"/>
  <c r="I120" i="8"/>
  <c r="I115" i="8" s="1"/>
  <c r="I119" i="8"/>
  <c r="I118" i="8"/>
  <c r="I117" i="8"/>
  <c r="I116" i="8"/>
  <c r="H115" i="8"/>
  <c r="G115" i="8"/>
  <c r="I114" i="8"/>
  <c r="E100" i="8"/>
  <c r="E101" i="8" s="1"/>
  <c r="E102" i="8" s="1"/>
  <c r="E103" i="8" s="1"/>
  <c r="E104" i="8" s="1"/>
  <c r="E105" i="8" s="1"/>
  <c r="E106" i="8" s="1"/>
  <c r="E107" i="8" s="1"/>
  <c r="G98" i="8" s="1"/>
  <c r="G99" i="8" s="1"/>
  <c r="G100" i="8" s="1"/>
  <c r="G101" i="8" s="1"/>
  <c r="G102" i="8" s="1"/>
  <c r="G103" i="8" s="1"/>
  <c r="G104" i="8" s="1"/>
  <c r="G105" i="8" s="1"/>
  <c r="G106" i="8" s="1"/>
  <c r="G107" i="8" s="1"/>
  <c r="J98" i="8" s="1"/>
  <c r="J99" i="8" s="1"/>
  <c r="J100" i="8" s="1"/>
  <c r="J101" i="8" s="1"/>
  <c r="J102" i="8" s="1"/>
  <c r="J103" i="8" s="1"/>
  <c r="J104" i="8" s="1"/>
  <c r="J105" i="8" s="1"/>
  <c r="J106" i="8" s="1"/>
  <c r="J107" i="8" s="1"/>
  <c r="L98" i="8" s="1"/>
  <c r="L99" i="8" s="1"/>
  <c r="L100" i="8" s="1"/>
  <c r="L101" i="8" s="1"/>
  <c r="L102" i="8" s="1"/>
  <c r="L103" i="8" s="1"/>
  <c r="L104" i="8" s="1"/>
  <c r="L105" i="8" s="1"/>
  <c r="L106" i="8" s="1"/>
  <c r="L107" i="8" s="1"/>
  <c r="E99" i="8"/>
  <c r="K98" i="8"/>
  <c r="K99" i="8" s="1"/>
  <c r="K100" i="8" s="1"/>
  <c r="K101" i="8" s="1"/>
  <c r="K102" i="8" s="1"/>
  <c r="K103" i="8" s="1"/>
  <c r="K104" i="8" s="1"/>
  <c r="K105" i="8" s="1"/>
  <c r="K106" i="8" s="1"/>
  <c r="K107" i="8" s="1"/>
  <c r="M98" i="8" s="1"/>
  <c r="M99" i="8" s="1"/>
  <c r="M100" i="8" s="1"/>
  <c r="M101" i="8" s="1"/>
  <c r="M102" i="8" s="1"/>
  <c r="M103" i="8" s="1"/>
  <c r="M104" i="8" s="1"/>
  <c r="M105" i="8" s="1"/>
  <c r="M106" i="8" s="1"/>
  <c r="M107" i="8" s="1"/>
  <c r="U90" i="8"/>
  <c r="T90" i="8"/>
  <c r="AH89" i="8"/>
  <c r="AG89" i="8"/>
  <c r="U89" i="8"/>
  <c r="T89" i="8"/>
  <c r="AH88" i="8"/>
  <c r="AG88" i="8"/>
  <c r="U88" i="8"/>
  <c r="T88" i="8"/>
  <c r="Y88" i="8" s="1"/>
  <c r="X89" i="8" s="1"/>
  <c r="AH87" i="8"/>
  <c r="AR87" i="8" s="1"/>
  <c r="AG87" i="8"/>
  <c r="W87" i="8"/>
  <c r="U87" i="8"/>
  <c r="T87" i="8"/>
  <c r="K80" i="8"/>
  <c r="H80" i="8"/>
  <c r="K79" i="8"/>
  <c r="H79" i="8"/>
  <c r="AH74" i="8"/>
  <c r="AG74" i="8"/>
  <c r="U74" i="8"/>
  <c r="T74" i="8"/>
  <c r="AH73" i="8"/>
  <c r="AG73" i="8"/>
  <c r="U73" i="8"/>
  <c r="T73" i="8"/>
  <c r="AH72" i="8"/>
  <c r="AG72" i="8"/>
  <c r="U72" i="8"/>
  <c r="T72" i="8"/>
  <c r="AJ71" i="8"/>
  <c r="AH71" i="8"/>
  <c r="AG71" i="8"/>
  <c r="AJ73" i="8" s="1"/>
  <c r="AK72" i="8" s="1"/>
  <c r="AL71" i="8" s="1"/>
  <c r="W71" i="8"/>
  <c r="U71" i="8"/>
  <c r="T71" i="8"/>
  <c r="AH69" i="8"/>
  <c r="AG69" i="8"/>
  <c r="U69" i="8"/>
  <c r="T69" i="8"/>
  <c r="AH68" i="8"/>
  <c r="AG68" i="8"/>
  <c r="U68" i="8"/>
  <c r="T68" i="8"/>
  <c r="AH67" i="8"/>
  <c r="AG67" i="8"/>
  <c r="U67" i="8"/>
  <c r="T67" i="8"/>
  <c r="AR66" i="8"/>
  <c r="AJ66" i="8"/>
  <c r="AH66" i="8"/>
  <c r="AG66" i="8"/>
  <c r="W66" i="8"/>
  <c r="U66" i="8"/>
  <c r="AE66" i="8" s="1"/>
  <c r="T66" i="8"/>
  <c r="M59" i="8"/>
  <c r="L59" i="8"/>
  <c r="T58" i="8"/>
  <c r="M58" i="8"/>
  <c r="L58" i="8"/>
  <c r="T57" i="8"/>
  <c r="M57" i="8"/>
  <c r="L57" i="8"/>
  <c r="T56" i="8"/>
  <c r="M56" i="8"/>
  <c r="L56" i="8"/>
  <c r="T55" i="8"/>
  <c r="M55" i="8"/>
  <c r="L55" i="8"/>
  <c r="T54" i="8"/>
  <c r="T53" i="8"/>
  <c r="T52" i="8"/>
  <c r="T51" i="8"/>
  <c r="AF50" i="8"/>
  <c r="U50" i="8"/>
  <c r="T50" i="8"/>
  <c r="T49" i="8"/>
  <c r="U58" i="8" s="1"/>
  <c r="S49" i="8"/>
  <c r="V58" i="8" s="1"/>
  <c r="T48" i="8"/>
  <c r="V47" i="8"/>
  <c r="U47" i="8"/>
  <c r="T47" i="8"/>
  <c r="B39" i="8"/>
  <c r="H26" i="8"/>
  <c r="T33" i="8"/>
  <c r="S33" i="8"/>
  <c r="R30" i="8"/>
  <c r="I26" i="8"/>
  <c r="K25" i="8" a="1"/>
  <c r="L25" i="8" s="1"/>
  <c r="I25" i="8"/>
  <c r="Q25" i="8" s="1" a="1"/>
  <c r="Q25" i="8" s="1"/>
  <c r="B25" i="8"/>
  <c r="K24" i="8" a="1"/>
  <c r="L24" i="8" s="1"/>
  <c r="H24" i="8"/>
  <c r="K23" i="8" a="1"/>
  <c r="K23" i="8" s="1"/>
  <c r="H23" i="8"/>
  <c r="O23" i="8" s="1" a="1"/>
  <c r="K22" i="8" a="1"/>
  <c r="K22" i="8" s="1"/>
  <c r="G22" i="8"/>
  <c r="K21" i="8" a="1"/>
  <c r="K21" i="8" s="1"/>
  <c r="I21" i="8"/>
  <c r="K20" i="8" a="1"/>
  <c r="K20" i="8" s="1"/>
  <c r="G20" i="8"/>
  <c r="K19" i="8" a="1"/>
  <c r="L19" i="8" s="1"/>
  <c r="I19" i="8"/>
  <c r="K18" i="8" a="1"/>
  <c r="L18" i="8" s="1"/>
  <c r="B27" i="8"/>
  <c r="K17" i="8" a="1"/>
  <c r="L17" i="8" s="1"/>
  <c r="H17" i="8"/>
  <c r="K16" i="8" a="1"/>
  <c r="K16" i="8" s="1"/>
  <c r="I16" i="8"/>
  <c r="G16" i="8"/>
  <c r="K15" i="8"/>
  <c r="K15" i="8" a="1"/>
  <c r="L15" i="8" s="1"/>
  <c r="H15" i="8"/>
  <c r="K14" i="8" a="1"/>
  <c r="L14" i="8" s="1"/>
  <c r="I14" i="8"/>
  <c r="G14" i="8"/>
  <c r="K13" i="8" a="1"/>
  <c r="L13" i="8" s="1"/>
  <c r="H13" i="8"/>
  <c r="B13" i="8"/>
  <c r="K12" i="8" a="1"/>
  <c r="L12" i="8" s="1"/>
  <c r="H12" i="8"/>
  <c r="K11" i="8" a="1"/>
  <c r="L11" i="8" s="1"/>
  <c r="I11" i="8"/>
  <c r="G11" i="8"/>
  <c r="K10" i="8" a="1"/>
  <c r="L10" i="8" s="1"/>
  <c r="I10" i="8"/>
  <c r="G10" i="8"/>
  <c r="K9" i="8" a="1"/>
  <c r="L9" i="8" s="1"/>
  <c r="H9" i="8"/>
  <c r="K8" i="8" a="1"/>
  <c r="L8" i="8" s="1"/>
  <c r="H8" i="8"/>
  <c r="K7" i="8" a="1"/>
  <c r="K7" i="8" s="1"/>
  <c r="H7" i="8"/>
  <c r="K6" i="8" a="1"/>
  <c r="L6" i="8" s="1"/>
  <c r="I6" i="8"/>
  <c r="G6" i="8"/>
  <c r="K5" i="8" a="1"/>
  <c r="L5" i="8" s="1"/>
  <c r="I5" i="8"/>
  <c r="G5" i="8"/>
  <c r="B4" i="8"/>
  <c r="B3" i="8"/>
  <c r="B2" i="8"/>
  <c r="B1" i="8"/>
  <c r="K19" i="8" l="1"/>
  <c r="K8" i="8"/>
  <c r="L16" i="8"/>
  <c r="L22" i="8"/>
  <c r="Z47" i="8"/>
  <c r="U51" i="8"/>
  <c r="AR88" i="8"/>
  <c r="L20" i="8"/>
  <c r="U56" i="8"/>
  <c r="W68" i="8"/>
  <c r="X67" i="8" s="1"/>
  <c r="Y66" i="8" s="1"/>
  <c r="AR71" i="8"/>
  <c r="AJ72" i="8"/>
  <c r="AK71" i="8" s="1"/>
  <c r="K12" i="8"/>
  <c r="AE67" i="8"/>
  <c r="O7" i="8" a="1"/>
  <c r="P7" i="8" s="1"/>
  <c r="AL73" i="8"/>
  <c r="AN72" i="8" s="1"/>
  <c r="L21" i="8"/>
  <c r="W89" i="8"/>
  <c r="X88" i="8" s="1"/>
  <c r="Y87" i="8" s="1"/>
  <c r="AR68" i="8"/>
  <c r="AE73" i="8"/>
  <c r="AL72" i="8"/>
  <c r="AK73" i="8" s="1"/>
  <c r="AE87" i="8"/>
  <c r="AE71" i="8"/>
  <c r="Y89" i="8"/>
  <c r="AC87" i="8" s="1"/>
  <c r="AA58" i="8"/>
  <c r="Z58" i="8"/>
  <c r="X58" i="8"/>
  <c r="Y58" i="8"/>
  <c r="K24" i="8"/>
  <c r="X47" i="8"/>
  <c r="U53" i="8"/>
  <c r="U54" i="8"/>
  <c r="V56" i="8"/>
  <c r="U57" i="8"/>
  <c r="Y67" i="8"/>
  <c r="X68" i="8" s="1"/>
  <c r="AJ67" i="8"/>
  <c r="AK66" i="8" s="1"/>
  <c r="AE68" i="8"/>
  <c r="W72" i="8"/>
  <c r="X71" i="8" s="1"/>
  <c r="W73" i="8"/>
  <c r="X72" i="8" s="1"/>
  <c r="Y71" i="8" s="1"/>
  <c r="AB73" i="8" s="1"/>
  <c r="AR73" i="8"/>
  <c r="AJ88" i="8"/>
  <c r="AK87" i="8" s="1"/>
  <c r="AR67" i="8"/>
  <c r="Y68" i="8"/>
  <c r="AJ68" i="8"/>
  <c r="AK67" i="8" s="1"/>
  <c r="AL66" i="8" s="1"/>
  <c r="AE72" i="8"/>
  <c r="AE89" i="8"/>
  <c r="K25" i="8"/>
  <c r="Y47" i="8"/>
  <c r="U48" i="8"/>
  <c r="U52" i="8"/>
  <c r="V53" i="8"/>
  <c r="V54" i="8"/>
  <c r="U55" i="8"/>
  <c r="V57" i="8"/>
  <c r="Y57" i="8" s="1"/>
  <c r="AL68" i="8"/>
  <c r="AO66" i="8" s="1"/>
  <c r="AR72" i="8"/>
  <c r="Y73" i="8"/>
  <c r="AE88" i="8"/>
  <c r="AK88" i="8"/>
  <c r="AA47" i="8"/>
  <c r="V50" i="8"/>
  <c r="Y50" i="8" s="1"/>
  <c r="V51" i="8"/>
  <c r="Y51" i="8" s="1"/>
  <c r="D31" i="5"/>
  <c r="D30" i="11"/>
  <c r="K10" i="8"/>
  <c r="K6" i="8"/>
  <c r="K14" i="8"/>
  <c r="K17" i="8"/>
  <c r="V48" i="8"/>
  <c r="V52" i="8"/>
  <c r="V55" i="8"/>
  <c r="Z55" i="8" s="1"/>
  <c r="W67" i="8"/>
  <c r="X66" i="8" s="1"/>
  <c r="AA68" i="8" s="1"/>
  <c r="AL67" i="8"/>
  <c r="AK68" i="8" s="1"/>
  <c r="Y72" i="8"/>
  <c r="X73" i="8" s="1"/>
  <c r="W88" i="8"/>
  <c r="X87" i="8" s="1"/>
  <c r="Q5" i="8" a="1"/>
  <c r="R5" i="8" s="1"/>
  <c r="I7" i="8"/>
  <c r="Q6" i="8" s="1" a="1"/>
  <c r="I8" i="8"/>
  <c r="Q7" i="8" s="1" a="1"/>
  <c r="G9" i="8"/>
  <c r="M9" i="8" s="1" a="1"/>
  <c r="M9" i="8" s="1"/>
  <c r="H11" i="8"/>
  <c r="G12" i="8"/>
  <c r="I13" i="8"/>
  <c r="Q13" i="8" s="1" a="1"/>
  <c r="Q13" i="8" s="1"/>
  <c r="H14" i="8"/>
  <c r="O14" i="8" s="1" a="1"/>
  <c r="P14" i="8" s="1"/>
  <c r="G15" i="8"/>
  <c r="M15" i="8" s="1" a="1"/>
  <c r="N15" i="8" s="1"/>
  <c r="H16" i="8"/>
  <c r="O16" i="8" s="1" a="1"/>
  <c r="I17" i="8"/>
  <c r="G18" i="8"/>
  <c r="M18" i="8" s="1" a="1"/>
  <c r="H20" i="8"/>
  <c r="H22" i="8"/>
  <c r="I23" i="8"/>
  <c r="I24" i="8"/>
  <c r="Q24" i="8" s="1" a="1"/>
  <c r="Q24" i="8" s="1"/>
  <c r="M11" i="8" a="1"/>
  <c r="N11" i="8" s="1"/>
  <c r="O12" i="8" a="1"/>
  <c r="P12" i="8" s="1"/>
  <c r="G25" i="8"/>
  <c r="G26" i="8"/>
  <c r="H18" i="8"/>
  <c r="G19" i="8"/>
  <c r="M19" i="8" s="1" a="1"/>
  <c r="M19" i="8" s="1"/>
  <c r="I20" i="8"/>
  <c r="Q20" i="8" s="1" a="1"/>
  <c r="G21" i="8"/>
  <c r="M21" i="8" s="1" a="1"/>
  <c r="N21" i="8" s="1"/>
  <c r="I22" i="8"/>
  <c r="H5" i="8"/>
  <c r="H6" i="8"/>
  <c r="O6" i="8" s="1" a="1"/>
  <c r="O6" i="8" s="1"/>
  <c r="G7" i="8"/>
  <c r="G8" i="8"/>
  <c r="I9" i="8"/>
  <c r="Q9" i="8" s="1" a="1"/>
  <c r="Q9" i="8" s="1"/>
  <c r="H10" i="8"/>
  <c r="O9" i="8" s="1" a="1"/>
  <c r="I12" i="8"/>
  <c r="G13" i="8"/>
  <c r="M13" i="8" s="1" a="1"/>
  <c r="M13" i="8" s="1"/>
  <c r="I15" i="8"/>
  <c r="Q15" i="8" s="1" a="1"/>
  <c r="R15" i="8" s="1"/>
  <c r="G17" i="8"/>
  <c r="M16" i="8" s="1" a="1"/>
  <c r="I18" i="8"/>
  <c r="Q18" i="8" s="1" a="1"/>
  <c r="Q18" i="8" s="1"/>
  <c r="H19" i="8"/>
  <c r="O19" i="8" s="1" a="1"/>
  <c r="H21" i="8"/>
  <c r="O20" i="8" s="1" a="1"/>
  <c r="G23" i="8"/>
  <c r="M22" i="8" s="1" a="1"/>
  <c r="G24" i="8"/>
  <c r="H25" i="8"/>
  <c r="O25" i="8" s="1" a="1"/>
  <c r="P25" i="8" s="1"/>
  <c r="Q10" i="8" a="1"/>
  <c r="Q10" i="8" s="1"/>
  <c r="O11" i="8" a="1"/>
  <c r="O11" i="8" s="1"/>
  <c r="O17" i="8" a="1"/>
  <c r="O17" i="8" s="1"/>
  <c r="P23" i="8"/>
  <c r="O23" i="8"/>
  <c r="M14" i="8" a="1"/>
  <c r="M14" i="8" s="1"/>
  <c r="M15" i="8"/>
  <c r="O22" i="8" a="1"/>
  <c r="O22" i="8" s="1"/>
  <c r="O8" i="8" a="1"/>
  <c r="M10" i="8" a="1"/>
  <c r="M10" i="8" s="1"/>
  <c r="M5" i="8" a="1"/>
  <c r="N5" i="8" s="1"/>
  <c r="O10" i="8" a="1"/>
  <c r="O21" i="8" a="1"/>
  <c r="O21" i="8" s="1"/>
  <c r="O16" i="8"/>
  <c r="P16" i="8"/>
  <c r="R9" i="8"/>
  <c r="N13" i="8"/>
  <c r="AC73" i="8"/>
  <c r="L7" i="8"/>
  <c r="K5" i="8"/>
  <c r="K9" i="8"/>
  <c r="M11" i="8"/>
  <c r="K13" i="8"/>
  <c r="Q15" i="8"/>
  <c r="K18" i="8"/>
  <c r="N19" i="8"/>
  <c r="O15" i="8" a="1"/>
  <c r="K11" i="8"/>
  <c r="Q20" i="8"/>
  <c r="R20" i="8"/>
  <c r="Q21" i="8" a="1"/>
  <c r="L23" i="8"/>
  <c r="R24" i="8"/>
  <c r="R25" i="8"/>
  <c r="Z50" i="8"/>
  <c r="Z51" i="8"/>
  <c r="X53" i="8"/>
  <c r="X55" i="8"/>
  <c r="AO87" i="8"/>
  <c r="AC89" i="8"/>
  <c r="AA50" i="8"/>
  <c r="AA51" i="8"/>
  <c r="AA57" i="8"/>
  <c r="AB72" i="8"/>
  <c r="AN88" i="8"/>
  <c r="X50" i="8"/>
  <c r="X51" i="8"/>
  <c r="Z53" i="8"/>
  <c r="X57" i="8"/>
  <c r="AC72" i="8"/>
  <c r="AO72" i="8"/>
  <c r="D10" i="5"/>
  <c r="R6" i="8" l="1"/>
  <c r="Q6" i="8"/>
  <c r="AC88" i="8"/>
  <c r="AN71" i="8"/>
  <c r="AA87" i="8"/>
  <c r="AO71" i="8"/>
  <c r="AB71" i="8"/>
  <c r="H73" i="8" s="1"/>
  <c r="R10" i="8"/>
  <c r="AC71" i="8"/>
  <c r="AA88" i="8"/>
  <c r="AN68" i="8"/>
  <c r="AA73" i="8"/>
  <c r="AB87" i="8"/>
  <c r="AN66" i="8"/>
  <c r="AA72" i="8"/>
  <c r="P22" i="8"/>
  <c r="O7" i="8"/>
  <c r="M24" i="8" a="1"/>
  <c r="AP71" i="8"/>
  <c r="AB88" i="8"/>
  <c r="AA71" i="8"/>
  <c r="AB89" i="8"/>
  <c r="AP72" i="8"/>
  <c r="M73" i="8" s="1"/>
  <c r="AA89" i="8"/>
  <c r="AA67" i="8"/>
  <c r="AP73" i="8"/>
  <c r="Q14" i="8" a="1"/>
  <c r="AN73" i="8"/>
  <c r="AO73" i="8"/>
  <c r="Z57" i="8"/>
  <c r="Q19" i="8" a="1"/>
  <c r="Q19" i="8" s="1"/>
  <c r="X54" i="8"/>
  <c r="Y54" i="8"/>
  <c r="AA54" i="8"/>
  <c r="Z54" i="8"/>
  <c r="AB68" i="8"/>
  <c r="AB66" i="8"/>
  <c r="AA66" i="8"/>
  <c r="AC68" i="8"/>
  <c r="H67" i="8" s="1"/>
  <c r="O13" i="8" a="1"/>
  <c r="M17" i="8" a="1"/>
  <c r="M25" i="8" a="1"/>
  <c r="Q23" i="8" a="1"/>
  <c r="R23" i="8" s="1"/>
  <c r="Q17" i="8" a="1"/>
  <c r="Q8" i="8" a="1"/>
  <c r="AA55" i="8"/>
  <c r="Y55" i="8"/>
  <c r="AA53" i="8"/>
  <c r="Y53" i="8"/>
  <c r="J28" i="11"/>
  <c r="P9" i="11"/>
  <c r="D12" i="11"/>
  <c r="D8" i="11" s="1"/>
  <c r="AP68" i="8"/>
  <c r="AO68" i="8"/>
  <c r="AO67" i="8"/>
  <c r="AN67" i="8"/>
  <c r="N10" i="8"/>
  <c r="Q5" i="8"/>
  <c r="O5" i="8" a="1"/>
  <c r="AA52" i="8"/>
  <c r="X52" i="8"/>
  <c r="Z52" i="8"/>
  <c r="Y52" i="8"/>
  <c r="AC66" i="8"/>
  <c r="AP67" i="8"/>
  <c r="AP66" i="8"/>
  <c r="AC67" i="8"/>
  <c r="AB67" i="8"/>
  <c r="M21" i="8"/>
  <c r="P6" i="8"/>
  <c r="O14" i="8"/>
  <c r="M8" i="8" a="1"/>
  <c r="N8" i="8" s="1"/>
  <c r="O18" i="8" a="1"/>
  <c r="AA48" i="8"/>
  <c r="X48" i="8"/>
  <c r="Z48" i="8"/>
  <c r="Y48" i="8"/>
  <c r="AO88" i="8"/>
  <c r="AN87" i="8"/>
  <c r="L88" i="8" s="1"/>
  <c r="Y56" i="8"/>
  <c r="X56" i="8"/>
  <c r="AA56" i="8"/>
  <c r="Z56" i="8"/>
  <c r="P9" i="8"/>
  <c r="O9" i="8"/>
  <c r="O20" i="8"/>
  <c r="P20" i="8"/>
  <c r="O18" i="8"/>
  <c r="P18" i="8"/>
  <c r="P19" i="8"/>
  <c r="O19" i="8"/>
  <c r="P21" i="8"/>
  <c r="P17" i="8"/>
  <c r="N9" i="8"/>
  <c r="O12" i="8"/>
  <c r="M23" i="8" a="1"/>
  <c r="N23" i="8" s="1"/>
  <c r="Q12" i="8" a="1"/>
  <c r="Q12" i="8" s="1"/>
  <c r="M7" i="8" a="1"/>
  <c r="Q16" i="8" a="1"/>
  <c r="R16" i="8" s="1"/>
  <c r="M8" i="8"/>
  <c r="O25" i="8"/>
  <c r="N14" i="8"/>
  <c r="M12" i="8" a="1"/>
  <c r="R8" i="8"/>
  <c r="Q8" i="8"/>
  <c r="R17" i="8"/>
  <c r="Q17" i="8"/>
  <c r="M22" i="8"/>
  <c r="N22" i="8"/>
  <c r="Q22" i="8" a="1"/>
  <c r="R22" i="8" s="1"/>
  <c r="M6" i="8" a="1"/>
  <c r="O24" i="8" a="1"/>
  <c r="R18" i="8"/>
  <c r="P11" i="8"/>
  <c r="Q11" i="8" a="1"/>
  <c r="Q11" i="8" s="1"/>
  <c r="M20" i="8" a="1"/>
  <c r="M20" i="8" s="1"/>
  <c r="M23" i="8"/>
  <c r="P10" i="8"/>
  <c r="O10" i="8"/>
  <c r="P8" i="8"/>
  <c r="O8" i="8"/>
  <c r="R13" i="8"/>
  <c r="M5" i="8"/>
  <c r="M72" i="8"/>
  <c r="H71" i="8"/>
  <c r="R21" i="8"/>
  <c r="Q21" i="8"/>
  <c r="M18" i="8"/>
  <c r="N18" i="8"/>
  <c r="R7" i="8"/>
  <c r="Q7" i="8"/>
  <c r="G88" i="8"/>
  <c r="G87" i="8"/>
  <c r="G89" i="8"/>
  <c r="N24" i="8"/>
  <c r="M24" i="8"/>
  <c r="O15" i="8"/>
  <c r="P15" i="8"/>
  <c r="N16" i="8"/>
  <c r="M16" i="8"/>
  <c r="K14" i="4"/>
  <c r="K16" i="4" s="1"/>
  <c r="M71" i="8" l="1"/>
  <c r="R19" i="8"/>
  <c r="H66" i="8"/>
  <c r="Q14" i="8"/>
  <c r="R14" i="8"/>
  <c r="H68" i="8"/>
  <c r="M68" i="8"/>
  <c r="H72" i="8"/>
  <c r="Q16" i="8"/>
  <c r="P15" i="11"/>
  <c r="P16" i="11" s="1"/>
  <c r="J30" i="11" s="1"/>
  <c r="M66" i="8"/>
  <c r="R12" i="8"/>
  <c r="N25" i="8"/>
  <c r="M25" i="8"/>
  <c r="M67" i="8"/>
  <c r="N17" i="8"/>
  <c r="M17" i="8"/>
  <c r="Q23" i="8"/>
  <c r="L87" i="8"/>
  <c r="O5" i="8"/>
  <c r="P5" i="8"/>
  <c r="D7" i="11"/>
  <c r="D14" i="11"/>
  <c r="J27" i="11" s="1"/>
  <c r="P13" i="8"/>
  <c r="O13" i="8"/>
  <c r="M7" i="8"/>
  <c r="N7" i="8"/>
  <c r="M12" i="8"/>
  <c r="N12" i="8"/>
  <c r="R11" i="8"/>
  <c r="Q22" i="8"/>
  <c r="P24" i="8"/>
  <c r="O24" i="8"/>
  <c r="M6" i="8"/>
  <c r="N6" i="8"/>
  <c r="N20" i="8"/>
  <c r="K21" i="4"/>
  <c r="K31" i="4" s="1"/>
  <c r="V13" i="5"/>
  <c r="K38" i="4"/>
  <c r="E10" i="4"/>
  <c r="E28" i="4"/>
  <c r="E9" i="4"/>
  <c r="Q7" i="4"/>
  <c r="Q11" i="4"/>
  <c r="P7" i="5"/>
  <c r="D9" i="5"/>
  <c r="D16" i="5"/>
  <c r="D19" i="5"/>
  <c r="J38" i="5"/>
  <c r="P26" i="11" l="1"/>
  <c r="P33" i="11" s="1"/>
  <c r="O26" i="11"/>
  <c r="P32" i="11" s="1"/>
  <c r="P27" i="11"/>
  <c r="O27" i="11"/>
  <c r="J33" i="11"/>
  <c r="J20" i="5"/>
  <c r="D13" i="5"/>
  <c r="J21" i="5"/>
  <c r="J31" i="5" s="1"/>
  <c r="K22" i="4"/>
  <c r="K20" i="4"/>
  <c r="E25" i="4"/>
  <c r="J14" i="5"/>
  <c r="J16" i="5" s="1"/>
  <c r="P34" i="11" l="1"/>
  <c r="O28" i="11"/>
  <c r="P36" i="11" s="1"/>
  <c r="P28" i="11"/>
  <c r="P37" i="11" s="1"/>
  <c r="P35" i="11"/>
  <c r="J34" i="11"/>
  <c r="J37" i="11"/>
  <c r="I37" i="11" s="1"/>
  <c r="J22" i="5"/>
  <c r="P10" i="5" l="1"/>
  <c r="P11" i="5" s="1"/>
  <c r="P12" i="5" s="1"/>
  <c r="P8" i="5"/>
  <c r="P9" i="5" l="1"/>
  <c r="P14" i="5" s="1"/>
  <c r="P15" i="5" s="1"/>
  <c r="J32" i="5" s="1"/>
  <c r="Q10" i="4"/>
  <c r="Q12" i="4" s="1"/>
  <c r="Q9" i="4" l="1"/>
  <c r="Q14" i="4" s="1"/>
  <c r="Q15" i="4" s="1"/>
  <c r="K32" i="4" s="1"/>
  <c r="Q26" i="4"/>
  <c r="K30" i="4" l="1"/>
  <c r="K17" i="4"/>
  <c r="K18" i="4" l="1"/>
  <c r="K29" i="4" s="1"/>
  <c r="J30" i="5" l="1"/>
  <c r="J17" i="5"/>
  <c r="J18" i="5" l="1"/>
  <c r="J29" i="5" s="1"/>
  <c r="D17" i="5" l="1"/>
  <c r="J33" i="5" s="1"/>
  <c r="D11" i="5"/>
  <c r="P23" i="5" l="1"/>
  <c r="P31" i="5" s="1"/>
  <c r="D12" i="5"/>
  <c r="D8" i="5" s="1"/>
  <c r="D14" i="5" l="1"/>
  <c r="J28" i="5" s="1"/>
  <c r="D7" i="5"/>
  <c r="P27" i="5" l="1"/>
  <c r="O27" i="5"/>
  <c r="O26" i="5"/>
  <c r="P32" i="5" s="1"/>
  <c r="P26" i="5"/>
  <c r="P33" i="5" s="1"/>
  <c r="P16" i="5"/>
  <c r="P17" i="5" s="1"/>
  <c r="J35" i="5"/>
  <c r="J36" i="5" l="1"/>
  <c r="J39" i="5"/>
  <c r="I39" i="5" s="1"/>
  <c r="O28" i="5"/>
  <c r="P36" i="5" s="1"/>
  <c r="P34" i="5"/>
  <c r="P28" i="5"/>
  <c r="P37" i="5" s="1"/>
  <c r="P35" i="5"/>
  <c r="E12" i="4" l="1"/>
  <c r="E8" i="4" s="1"/>
  <c r="E11" i="4" l="1"/>
  <c r="E13" i="4"/>
  <c r="E16" i="4" s="1"/>
  <c r="E17" i="4" s="1"/>
  <c r="K33" i="4" s="1"/>
  <c r="E14" i="4"/>
  <c r="K28" i="4" s="1"/>
  <c r="E7" i="4"/>
  <c r="K35" i="4" l="1"/>
  <c r="Q16" i="4"/>
  <c r="Q17" i="4" s="1"/>
  <c r="K36" i="4" l="1"/>
  <c r="K39" i="4"/>
  <c r="J39"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J. Cloud</author>
    <author>Johan Vennekens</author>
  </authors>
  <commentList>
    <comment ref="E7" authorId="0" shapeId="0" xr:uid="{00000000-0006-0000-0400-000001000000}">
      <text>
        <r>
          <rPr>
            <sz val="8"/>
            <color indexed="81"/>
            <rFont val="Times New Roman"/>
            <family val="1"/>
          </rPr>
          <t>Calculated from output power in dB</t>
        </r>
      </text>
    </comment>
    <comment ref="K7" authorId="1" shapeId="0" xr:uid="{00000000-0006-0000-0400-000002000000}">
      <text>
        <r>
          <rPr>
            <b/>
            <sz val="9"/>
            <color indexed="81"/>
            <rFont val="Tahoma"/>
            <family val="2"/>
          </rPr>
          <t>Johan Vennekens:</t>
        </r>
        <r>
          <rPr>
            <sz val="9"/>
            <color indexed="81"/>
            <rFont val="Tahoma"/>
            <family val="2"/>
          </rPr>
          <t xml:space="preserve">
Add [Ellipse] when the orbit is elliptical
</t>
        </r>
      </text>
    </comment>
    <comment ref="Q7" authorId="0" shapeId="0" xr:uid="{00000000-0006-0000-0400-000003000000}">
      <text>
        <r>
          <rPr>
            <sz val="8"/>
            <color indexed="81"/>
            <rFont val="Times New Roman"/>
            <family val="1"/>
          </rPr>
          <t>1.  Direct input from Cell P7
2.  Set to 55</t>
        </r>
      </text>
    </comment>
    <comment ref="E8" authorId="0" shapeId="0" xr:uid="{00000000-0006-0000-0400-000004000000}">
      <text>
        <r>
          <rPr>
            <sz val="8"/>
            <color indexed="81"/>
            <rFont val="Times New Roman"/>
            <family val="1"/>
          </rPr>
          <t>1.  Calculated from EIRP if input directly (Cell D14) and 
     peak antenna gain if available (Cell E12), Eqn 13-5, p 552
2.  Direct input from Cell D8
3.  Calculated from output power in W if input directly 
     (Cell D7)
4.  Left blank</t>
        </r>
      </text>
    </comment>
    <comment ref="Q8" authorId="0" shapeId="0" xr:uid="{00000000-0006-0000-0400-000005000000}">
      <text>
        <r>
          <rPr>
            <sz val="8"/>
            <color indexed="81"/>
            <rFont val="Times New Roman"/>
            <family val="1"/>
          </rPr>
          <t>1.  Calculated from half-power beamwidth if 
     input directly (Cell P10), Eqn 13-19, p 555
2.  Direct input from Cell P8
3.  Calculated from peak antenna gain if 
     available (Cell Q9), Eqn 13-7, p 553
4.  Left blank</t>
        </r>
      </text>
    </comment>
    <comment ref="E9" authorId="0" shapeId="0" xr:uid="{00000000-0006-0000-0400-000006000000}">
      <text>
        <r>
          <rPr>
            <sz val="8"/>
            <color indexed="81"/>
            <rFont val="Times New Roman"/>
            <family val="1"/>
          </rPr>
          <t>1.  Direct input from Cell D9 
     (always a negative value)
2.  Set to -3</t>
        </r>
      </text>
    </comment>
    <comment ref="Q9" authorId="0" shapeId="0" xr:uid="{00000000-0006-0000-0400-000007000000}">
      <text>
        <r>
          <rPr>
            <sz val="8"/>
            <color indexed="81"/>
            <rFont val="Tahoma"/>
            <family val="2"/>
          </rPr>
          <t>1.  Calculated from antenna diameter if available 
     (Cell P8), Eqn 13-7, p 553
2.  Direct input from Cell P9
3.  Calculated from G/T if input directly (Cell P16), 
     system noise temp (Cell Q15) and increase in 
     system noise temp (Cell K22) if available 
4.  Left blank</t>
        </r>
      </text>
    </comment>
    <comment ref="E10" authorId="0" shapeId="0" xr:uid="{00000000-0006-0000-0400-000008000000}">
      <text>
        <r>
          <rPr>
            <sz val="8"/>
            <color indexed="81"/>
            <rFont val="Times New Roman"/>
            <family val="1"/>
          </rPr>
          <t>1.  Direct input from Cell D10
2.  Set to 55</t>
        </r>
      </text>
    </comment>
    <comment ref="Q10" authorId="0" shapeId="0" xr:uid="{00000000-0006-0000-0400-000009000000}">
      <text>
        <r>
          <rPr>
            <sz val="8"/>
            <color indexed="81"/>
            <rFont val="Tahoma"/>
            <family val="2"/>
          </rPr>
          <t>1.  Direct input from Cell O11
2.  Calculated from antenna diameter if input directly 
     (Cell O9), Eqn 13-19, p 555
3.  Calculated from peak antenna gain if 
     available (Cell O10), Eqn 13-19, p 555 &amp; 13-7, p 553
4.  Left blank</t>
        </r>
      </text>
    </comment>
    <comment ref="E11" authorId="0" shapeId="0" xr:uid="{00000000-0006-0000-0400-00000A000000}">
      <text>
        <r>
          <rPr>
            <sz val="8"/>
            <color indexed="81"/>
            <rFont val="Times New Roman"/>
            <family val="1"/>
          </rPr>
          <t>1.  Calculated from half-power beamwidth if 
     input directly (Cell D13), Eqn 13-19, p 555
2.  Direct input from Cell D11
3.  Calculated from peak antenna gain if 
     available (Cell E12), Eqn 13-7, p 553
4.  Left blank</t>
        </r>
      </text>
    </comment>
    <comment ref="Q11" authorId="0" shapeId="0" xr:uid="{00000000-0006-0000-0400-00000B000000}">
      <text>
        <r>
          <rPr>
            <sz val="8"/>
            <color indexed="81"/>
            <rFont val="Times New Roman"/>
            <family val="1"/>
          </rPr>
          <t>1.  Direct input from Cell P12
2.  Left blank</t>
        </r>
      </text>
    </comment>
    <comment ref="E12" authorId="0" shapeId="0" xr:uid="{00000000-0006-0000-0400-00000C000000}">
      <text>
        <r>
          <rPr>
            <sz val="8"/>
            <color indexed="81"/>
            <rFont val="Times New Roman"/>
            <family val="1"/>
          </rPr>
          <t>1.  Calculated from antenna diameter if available 
     (Cell E11), Eqn 13-7, p 553
2.  Direct input from Cell D11
3.  Calculated from EIRP if input directly (Cell D14) and 
     Output power is available (Cell E7), Eqn 13-5, p 552
4.  Left blank</t>
        </r>
      </text>
    </comment>
    <comment ref="Q12" authorId="0" shapeId="0" xr:uid="{00000000-0006-0000-0400-00000D000000}">
      <text>
        <r>
          <rPr>
            <sz val="8"/>
            <color indexed="81"/>
            <rFont val="Tahoma"/>
            <family val="2"/>
          </rPr>
          <t>Eqn 13-21, p 556</t>
        </r>
      </text>
    </comment>
    <comment ref="E13" authorId="0" shapeId="0" xr:uid="{00000000-0006-0000-0400-00000E000000}">
      <text>
        <r>
          <rPr>
            <sz val="8"/>
            <color indexed="81"/>
            <rFont val="Times New Roman"/>
            <family val="1"/>
          </rPr>
          <t>1.  Direct input from Cell D13
2.  Calculated from antenna diameter if input directly 
     (Cell D11), Eqn 13-19, p 555
3.  Calculated from peak antenna gain if 
     available (Cell E12), Eqn 13-19, p 555 &amp; 13-7, p 553
4.  Left blank</t>
        </r>
      </text>
    </comment>
    <comment ref="K13" authorId="0" shapeId="0" xr:uid="{00000000-0006-0000-0400-00000F000000}">
      <text>
        <r>
          <rPr>
            <sz val="8"/>
            <color indexed="81"/>
            <rFont val="Times New Roman"/>
            <family val="1"/>
          </rPr>
          <t>1.  Direct input from Cell J13
2.  Retrieved from "Orbits - Geometry" (circular orbit altitude)
3.  Retrieved from "Orbits - Geometry" (perigee altitude)
4.  Left blank</t>
        </r>
      </text>
    </comment>
    <comment ref="E14" authorId="0" shapeId="0" xr:uid="{00000000-0006-0000-0400-000010000000}">
      <text>
        <r>
          <rPr>
            <sz val="8"/>
            <color indexed="81"/>
            <rFont val="Times New Roman"/>
            <family val="1"/>
          </rPr>
          <t>1.  Direct input from Cell D14
2.  Calculated using Eqn 13-5, p 552
3.  Left blank</t>
        </r>
      </text>
    </comment>
    <comment ref="K14" authorId="0" shapeId="0" xr:uid="{00000000-0006-0000-0400-000011000000}">
      <text>
        <r>
          <rPr>
            <sz val="8"/>
            <color indexed="81"/>
            <rFont val="Times New Roman"/>
            <family val="1"/>
          </rPr>
          <t>Eqn 5-16, p 111</t>
        </r>
      </text>
    </comment>
    <comment ref="Q14" authorId="0" shapeId="0" xr:uid="{00000000-0006-0000-0400-000012000000}">
      <text>
        <r>
          <rPr>
            <sz val="8"/>
            <color indexed="81"/>
            <rFont val="Times New Roman"/>
            <family val="1"/>
          </rPr>
          <t>1.  Calculated from G/T (Cell Q16), Peak antenna gain 
     (Cell Q9), and Increase in system noise temp 
     (Cell K22) if available
2.  Direct input from Cell P15
3.  Set equal to 688</t>
        </r>
      </text>
    </comment>
    <comment ref="K15" authorId="0" shapeId="0" xr:uid="{00000000-0006-0000-0400-000013000000}">
      <text>
        <r>
          <rPr>
            <sz val="8"/>
            <color indexed="81"/>
            <rFont val="Times New Roman"/>
            <family val="1"/>
          </rPr>
          <t>1.  Direct input from Cell J15
2.  Calculated from nadir angle if input directly 
     (Cell J16), Eqn 5-26, p 113
3.  Retrieved from "Orbits - Geometry"
4.  Left blank</t>
        </r>
      </text>
    </comment>
    <comment ref="Q15" authorId="0" shapeId="0" xr:uid="{00000000-0006-0000-0400-000014000000}">
      <text>
        <r>
          <rPr>
            <sz val="8"/>
            <color indexed="81"/>
            <rFont val="Times New Roman"/>
            <family val="1"/>
          </rPr>
          <t>1.  Direct input from Cell P16
2.  Calculated from peak antenna gain 
     (Cell Q9) and system noise temperature 
     (Cells Q15, K22)
3.  Left blank</t>
        </r>
      </text>
    </comment>
    <comment ref="E16" authorId="0" shapeId="0" xr:uid="{00000000-0006-0000-0400-000015000000}">
      <text>
        <r>
          <rPr>
            <sz val="8"/>
            <color indexed="81"/>
            <rFont val="Times New Roman"/>
            <family val="1"/>
          </rPr>
          <t>1.  Direct input from Cell D16
2.  Set to 10% of half-power beamwidth 
     if available (Cell E13)
3.  Left blank</t>
        </r>
      </text>
    </comment>
    <comment ref="K16" authorId="0" shapeId="0" xr:uid="{00000000-0006-0000-0400-000016000000}">
      <text>
        <r>
          <rPr>
            <sz val="8"/>
            <color indexed="81"/>
            <rFont val="Times New Roman"/>
            <family val="1"/>
          </rPr>
          <t>1.  Direct input from Cell J15
2.  Calculated from nadir angle if input directly 
     (Cell J16), Eqn 5-26, p 113
3.  Retrieved from "Orbits - Geometry"
4.  Left blank</t>
        </r>
      </text>
    </comment>
    <comment ref="E17" authorId="0" shapeId="0" xr:uid="{00000000-0006-0000-0400-000017000000}">
      <text>
        <r>
          <rPr>
            <sz val="8"/>
            <color indexed="81"/>
            <rFont val="Times New Roman"/>
            <family val="1"/>
          </rPr>
          <t>Eqn 13-21, p 556</t>
        </r>
      </text>
    </comment>
    <comment ref="K17" authorId="0" shapeId="0" xr:uid="{00000000-0006-0000-0400-000018000000}">
      <text>
        <r>
          <rPr>
            <sz val="8"/>
            <color indexed="81"/>
            <rFont val="Times New Roman"/>
            <family val="1"/>
          </rPr>
          <t>Eqn 5-27, p 113</t>
        </r>
      </text>
    </comment>
    <comment ref="K18" authorId="0" shapeId="0" xr:uid="{00000000-0006-0000-0400-000019000000}">
      <text>
        <r>
          <rPr>
            <sz val="8"/>
            <color indexed="81"/>
            <rFont val="Times New Roman"/>
            <family val="1"/>
          </rPr>
          <t>Eqn 5-28, p 113</t>
        </r>
      </text>
    </comment>
    <comment ref="K20" authorId="0" shapeId="0" xr:uid="{00000000-0006-0000-0400-00001A000000}">
      <text>
        <r>
          <rPr>
            <sz val="8"/>
            <color indexed="81"/>
            <rFont val="Times New Roman"/>
            <family val="1"/>
          </rPr>
          <t>1.  Direct input from Cell J20 (always negative)
2.  Set to -0.06 if frequency (Cell E24) is less than 10 GHz
3.  Set to -0.60 if frequency is less than 40 GHz
4.  Left blank</t>
        </r>
      </text>
    </comment>
    <comment ref="K21" authorId="0" shapeId="0" xr:uid="{00000000-0006-0000-0400-00001B000000}">
      <text>
        <r>
          <rPr>
            <sz val="8"/>
            <color indexed="81"/>
            <rFont val="Times New Roman"/>
            <family val="1"/>
          </rPr>
          <t>1.  Direct input from Cell J21 (always a negative value)
2.  Set to 0 if frequency (Cell E24) is less than 7 GHz
3.  Left blank</t>
        </r>
      </text>
    </comment>
    <comment ref="K22" authorId="0" shapeId="0" xr:uid="{00000000-0006-0000-0400-00001C000000}">
      <text>
        <r>
          <rPr>
            <sz val="8"/>
            <color indexed="81"/>
            <rFont val="Times New Roman"/>
            <family val="1"/>
          </rPr>
          <t>Eqn 13-27, p 565
Set to zero if rain attenuation value (Cell K21) is not available</t>
        </r>
      </text>
    </comment>
    <comment ref="Q23" authorId="0" shapeId="0" xr:uid="{00000000-0006-0000-0400-00001D000000}">
      <text>
        <r>
          <rPr>
            <sz val="8"/>
            <color indexed="81"/>
            <rFont val="Times New Roman"/>
            <family val="1"/>
          </rPr>
          <t>Calculated from antenna diameter using information in Table 13-16, p 574</t>
        </r>
      </text>
    </comment>
    <comment ref="E24" authorId="0" shapeId="0" xr:uid="{00000000-0006-0000-0400-00001E000000}">
      <text>
        <r>
          <rPr>
            <sz val="8"/>
            <color indexed="81"/>
            <rFont val="Tahoma"/>
            <family val="2"/>
          </rPr>
          <t>1.  Direct input from Cell D23
2.  Calculated from wavelength if 
     input directly (Cell D24)
3.  Left blank</t>
        </r>
      </text>
    </comment>
    <comment ref="E25" authorId="0" shapeId="0" xr:uid="{00000000-0006-0000-0400-00001F000000}">
      <text>
        <r>
          <rPr>
            <sz val="8"/>
            <color indexed="81"/>
            <rFont val="Times New Roman"/>
            <family val="1"/>
          </rPr>
          <t>Eqn 9-1, p 255</t>
        </r>
      </text>
    </comment>
    <comment ref="E28" authorId="0" shapeId="0" xr:uid="{00000000-0006-0000-0400-000020000000}">
      <text>
        <r>
          <rPr>
            <sz val="8"/>
            <color indexed="81"/>
            <rFont val="Times New Roman"/>
            <family val="1"/>
          </rPr>
          <t>1.  Direct input from Cell D27
2.  Left blank</t>
        </r>
      </text>
    </comment>
    <comment ref="K28" authorId="0" shapeId="0" xr:uid="{00000000-0006-0000-0400-000021000000}">
      <text>
        <r>
          <rPr>
            <sz val="8"/>
            <color indexed="81"/>
            <rFont val="Times New Roman"/>
            <family val="1"/>
          </rPr>
          <t>Retrieved from Cell E14</t>
        </r>
      </text>
    </comment>
    <comment ref="E29" authorId="0" shapeId="0" xr:uid="{00000000-0006-0000-0400-000022000000}">
      <text>
        <r>
          <rPr>
            <sz val="8"/>
            <color indexed="81"/>
            <rFont val="Times New Roman"/>
            <family val="1"/>
          </rPr>
          <t>1.  Direct input from Cell D29
2.  Set to 1E-5</t>
        </r>
      </text>
    </comment>
    <comment ref="K29" authorId="0" shapeId="0" xr:uid="{00000000-0006-0000-0400-000023000000}">
      <text>
        <r>
          <rPr>
            <sz val="8"/>
            <color indexed="81"/>
            <rFont val="Times New Roman"/>
            <family val="1"/>
          </rPr>
          <t>Eqn 13-22, p 556</t>
        </r>
      </text>
    </comment>
    <comment ref="E30" authorId="0" shapeId="0" xr:uid="{00000000-0006-0000-0400-000024000000}">
      <text>
        <r>
          <rPr>
            <sz val="8"/>
            <color indexed="81"/>
            <rFont val="Times New Roman"/>
            <family val="1"/>
          </rPr>
          <t>1.  Direct input from Cell D30
2.  Set to 9.60</t>
        </r>
      </text>
    </comment>
    <comment ref="K30" authorId="0" shapeId="0" xr:uid="{00000000-0006-0000-0400-000025000000}">
      <text>
        <r>
          <rPr>
            <sz val="8"/>
            <color indexed="81"/>
            <rFont val="Times New Roman"/>
            <family val="1"/>
          </rPr>
          <t>Calculated based on atmospheric attenuation at zenith and elevation angle, see p 564 (includes a -0.3 dB loss due to polarization mismatch, see comments on p 568)</t>
        </r>
      </text>
    </comment>
    <comment ref="K31" authorId="0" shapeId="0" xr:uid="{00000000-0006-0000-0400-000026000000}">
      <text>
        <r>
          <rPr>
            <sz val="8"/>
            <color indexed="81"/>
            <rFont val="Times New Roman"/>
            <family val="1"/>
          </rPr>
          <t>Retrieved from Cell K21</t>
        </r>
      </text>
    </comment>
    <comment ref="K32" authorId="0" shapeId="0" xr:uid="{00000000-0006-0000-0400-000027000000}">
      <text>
        <r>
          <rPr>
            <sz val="8"/>
            <color indexed="81"/>
            <rFont val="Times New Roman"/>
            <family val="1"/>
          </rPr>
          <t>Retrieved from Cell Q16</t>
        </r>
      </text>
    </comment>
    <comment ref="K33" authorId="0" shapeId="0" xr:uid="{00000000-0006-0000-0400-000028000000}">
      <text>
        <r>
          <rPr>
            <sz val="8"/>
            <color indexed="81"/>
            <rFont val="Times New Roman"/>
            <family val="1"/>
          </rPr>
          <t>Retrieved from Cells E17 and Q13</t>
        </r>
      </text>
    </comment>
    <comment ref="K35" authorId="0" shapeId="0" xr:uid="{00000000-0006-0000-0400-000029000000}">
      <text>
        <r>
          <rPr>
            <sz val="8"/>
            <color indexed="81"/>
            <rFont val="Times New Roman"/>
            <family val="1"/>
          </rPr>
          <t>Eqn 13-8, 13-9, 13-10, p 554</t>
        </r>
      </text>
    </comment>
    <comment ref="K36" authorId="0" shapeId="0" xr:uid="{00000000-0006-0000-0400-00002A000000}">
      <text>
        <r>
          <rPr>
            <sz val="8"/>
            <color indexed="81"/>
            <rFont val="Times New Roman"/>
            <family val="1"/>
          </rPr>
          <t>Eqn 13-8, 13-10, p 554</t>
        </r>
      </text>
    </comment>
    <comment ref="K38" authorId="0" shapeId="0" xr:uid="{00000000-0006-0000-0400-00002B000000}">
      <text>
        <r>
          <rPr>
            <sz val="8"/>
            <color indexed="81"/>
            <rFont val="Times New Roman"/>
            <family val="1"/>
          </rPr>
          <t>1.  Direct input from Cell J38
     (always a negative value)
2.  Set to -2.0</t>
        </r>
      </text>
    </comment>
    <comment ref="K39" authorId="0" shapeId="0" xr:uid="{00000000-0006-0000-0400-00002C000000}">
      <text>
        <r>
          <rPr>
            <sz val="8"/>
            <color indexed="81"/>
            <rFont val="Times New Roman"/>
            <family val="1"/>
          </rPr>
          <t>see p 568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David J. Cloud</author>
    <author>Johan Vennekens</author>
  </authors>
  <commentList>
    <comment ref="D7" authorId="0" shapeId="0" xr:uid="{00000000-0006-0000-0500-000001000000}">
      <text>
        <r>
          <rPr>
            <sz val="8"/>
            <color indexed="81"/>
            <rFont val="Times New Roman"/>
            <family val="1"/>
          </rPr>
          <t>Calculated from output power in dB</t>
        </r>
      </text>
    </comment>
    <comment ref="J7" authorId="1" shapeId="0" xr:uid="{00000000-0006-0000-0500-000002000000}">
      <text>
        <r>
          <rPr>
            <b/>
            <sz val="9"/>
            <color indexed="81"/>
            <rFont val="Tahoma"/>
            <family val="2"/>
          </rPr>
          <t>Johan Vennekens:</t>
        </r>
        <r>
          <rPr>
            <sz val="9"/>
            <color indexed="81"/>
            <rFont val="Tahoma"/>
            <family val="2"/>
          </rPr>
          <t xml:space="preserve">
Add "Ellipse" when the orbit is elliptical
</t>
        </r>
      </text>
    </comment>
    <comment ref="P7" authorId="0" shapeId="0" xr:uid="{00000000-0006-0000-0500-000003000000}">
      <text>
        <r>
          <rPr>
            <sz val="8"/>
            <color indexed="81"/>
            <rFont val="Times New Roman"/>
            <family val="1"/>
          </rPr>
          <t>1.  Direct input from Cell O7
2.  Set to 55</t>
        </r>
      </text>
    </comment>
    <comment ref="D8" authorId="0" shapeId="0" xr:uid="{00000000-0006-0000-0500-000004000000}">
      <text>
        <r>
          <rPr>
            <sz val="8"/>
            <color indexed="81"/>
            <rFont val="Times New Roman"/>
            <family val="1"/>
          </rPr>
          <t>1.  Calculated from EIRP if input directly (Cell C14) and 
     peak antenna gain if available (Cell D12), Eqn 13-5, p 552
2.  Direct input from Cell C8
3.  Calculated from output power in W if input directly 
     (Cell C7)
4.  Left blank</t>
        </r>
      </text>
    </comment>
    <comment ref="P8" authorId="0" shapeId="0" xr:uid="{00000000-0006-0000-0500-000005000000}">
      <text>
        <r>
          <rPr>
            <sz val="8"/>
            <color indexed="81"/>
            <rFont val="Times New Roman"/>
            <family val="1"/>
          </rPr>
          <t>1.  Calculated from half-power beamwidth if 
     input directly (Cell O10), Eqn 13-19, p 555
2.  Direct input from Cell O8
3.  Calculated from peak antenna gain if 
     available (Cell O9), Eqn 13-7, p 553
4.  Left blank</t>
        </r>
      </text>
    </comment>
    <comment ref="D9" authorId="0" shapeId="0" xr:uid="{00000000-0006-0000-0500-000006000000}">
      <text>
        <r>
          <rPr>
            <sz val="8"/>
            <color indexed="81"/>
            <rFont val="Times New Roman"/>
            <family val="1"/>
          </rPr>
          <t>1.  Direct input from Cell C9 
     (always a negative value)
2.  Set to -3</t>
        </r>
      </text>
    </comment>
    <comment ref="P9" authorId="0" shapeId="0" xr:uid="{00000000-0006-0000-0500-000007000000}">
      <text>
        <r>
          <rPr>
            <sz val="8"/>
            <color indexed="81"/>
            <rFont val="Tahoma"/>
            <family val="2"/>
          </rPr>
          <t>1.  Calculated from antenna diameter if available 
     (Cell O8), Eqn 13-7, p 553
2.  Direct input from Cell O9
3.  Calculated from G/T if input directly (Cell O16), 
     system noise temp (Cell P15) and increase in 
     system noise temp (Cell J16) if available 
4.  Left blank</t>
        </r>
      </text>
    </comment>
    <comment ref="D10" authorId="0" shapeId="0" xr:uid="{00000000-0006-0000-0500-000008000000}">
      <text>
        <r>
          <rPr>
            <sz val="8"/>
            <color indexed="81"/>
            <rFont val="Times New Roman"/>
            <family val="1"/>
          </rPr>
          <t>1.  Direct input from Cell C10
2.  Set to 55</t>
        </r>
      </text>
    </comment>
    <comment ref="P10" authorId="0" shapeId="0" xr:uid="{00000000-0006-0000-0500-000009000000}">
      <text>
        <r>
          <rPr>
            <sz val="8"/>
            <color indexed="81"/>
            <rFont val="Tahoma"/>
            <family val="2"/>
          </rPr>
          <t>1.  Direct input from Cell O10
2.  Calculated from antenna diameter if input directly 
     (Cell O8), Eqn 13-19, p 555
3.  Calculated from peak antenna gain if 
     available (Cell O9), Eqn 13-19, p 555 &amp; 13-7, p 553
4.  Left blank</t>
        </r>
      </text>
    </comment>
    <comment ref="D11" authorId="0" shapeId="0" xr:uid="{00000000-0006-0000-0500-00000A000000}">
      <text>
        <r>
          <rPr>
            <sz val="8"/>
            <color indexed="81"/>
            <rFont val="Times New Roman"/>
            <family val="1"/>
          </rPr>
          <t>1.  Calculated from half-power beamwidth if 
     input directly (Cell C13), Eqn 13-19, p 555
2.  Direct input from Cell C11
3.  Calculated from peak antenna gain if 
     available (Cell D12), Eqn 13-7, p 553
4.  Left blank</t>
        </r>
      </text>
    </comment>
    <comment ref="P11" authorId="0" shapeId="0" xr:uid="{00000000-0006-0000-0500-00000B000000}">
      <text>
        <r>
          <rPr>
            <sz val="8"/>
            <color indexed="81"/>
            <rFont val="Times New Roman"/>
            <family val="1"/>
          </rPr>
          <t>1.  Set equal to 10% of half-power 
     beamwidth (Cell p10)
2.  Left blank</t>
        </r>
      </text>
    </comment>
    <comment ref="D12" authorId="0" shapeId="0" xr:uid="{00000000-0006-0000-0500-00000C000000}">
      <text>
        <r>
          <rPr>
            <sz val="8"/>
            <color indexed="81"/>
            <rFont val="Times New Roman"/>
            <family val="1"/>
          </rPr>
          <t>1.  Calculated from antenna diameter if available 
     (Cell D11), Eqn 13-7, p 553
2.  Direct input from Cell C11
3.  Calculated from EIRP if input directly (Cell C14) and Output power is available (Cell D7), Eqn 13-5, p 552
4.  Left blank</t>
        </r>
      </text>
    </comment>
    <comment ref="P12" authorId="0" shapeId="0" xr:uid="{00000000-0006-0000-0500-00000D000000}">
      <text>
        <r>
          <rPr>
            <sz val="8"/>
            <color indexed="81"/>
            <rFont val="Tahoma"/>
            <family val="2"/>
          </rPr>
          <t>Eqn 13-21, p 556</t>
        </r>
      </text>
    </comment>
    <comment ref="D13" authorId="0" shapeId="0" xr:uid="{00000000-0006-0000-0500-00000E000000}">
      <text>
        <r>
          <rPr>
            <sz val="8"/>
            <color indexed="81"/>
            <rFont val="Times New Roman"/>
            <family val="1"/>
          </rPr>
          <t>1.  Direct input from Cell C13
2.  Calculated from antenna diameter if input directly 
     (Cell C11), Eqn 13-19, p 555
3.  Calculated from peak antenna gain if 
     available (Cell D12), Eqn 13-19, p 555 &amp; 13-7, p 553
4.  Left blank</t>
        </r>
      </text>
    </comment>
    <comment ref="J13" authorId="0" shapeId="0" xr:uid="{00000000-0006-0000-0500-00000F000000}">
      <text>
        <r>
          <rPr>
            <sz val="8"/>
            <color indexed="81"/>
            <rFont val="Times New Roman"/>
            <family val="1"/>
          </rPr>
          <t>1.  Direct input from Cell C13
2.  Retrieved from "Orbits - Geometry" (circular orbit altitude)
3.  Retrieved from "Orbits - Geometry" (perigee altitude)
4.  Left blank</t>
        </r>
      </text>
    </comment>
    <comment ref="D14" authorId="0" shapeId="0" xr:uid="{00000000-0006-0000-0500-000010000000}">
      <text>
        <r>
          <rPr>
            <sz val="8"/>
            <color indexed="81"/>
            <rFont val="Times New Roman"/>
            <family val="1"/>
          </rPr>
          <t>1.  Direct input from Cell C14
2.  Calculated using Eqn 13-5, p 552
3.  Left blank</t>
        </r>
      </text>
    </comment>
    <comment ref="J14" authorId="0" shapeId="0" xr:uid="{00000000-0006-0000-0500-000011000000}">
      <text>
        <r>
          <rPr>
            <sz val="8"/>
            <color indexed="81"/>
            <rFont val="Times New Roman"/>
            <family val="1"/>
          </rPr>
          <t>Eqn 5-16, p 111</t>
        </r>
      </text>
    </comment>
    <comment ref="P14" authorId="0" shapeId="0" xr:uid="{00000000-0006-0000-0500-000012000000}">
      <text>
        <r>
          <rPr>
            <sz val="8"/>
            <color indexed="81"/>
            <rFont val="Times New Roman"/>
            <family val="1"/>
          </rPr>
          <t>1.  Calculated from G/T (Cell P16), Peak antenna gain 
     (Cell P8), and Increase in system noise temp 
     (Cell J16) if available
2.  Direct input from Cell O15
3.  Set equal to 260</t>
        </r>
      </text>
    </comment>
    <comment ref="J15" authorId="0" shapeId="0" xr:uid="{00000000-0006-0000-0500-000013000000}">
      <text>
        <r>
          <rPr>
            <sz val="8"/>
            <color indexed="81"/>
            <rFont val="Times New Roman"/>
            <family val="1"/>
          </rPr>
          <t>1.  Direct input from Cell I15
2.  Calculated from nadir angle if input directly 
     (Cell I16), Eqn 5-26, p 113
3.  Retrieved from "Orbits - Geometry"
4.  Left blank</t>
        </r>
      </text>
    </comment>
    <comment ref="P15" authorId="0" shapeId="0" xr:uid="{00000000-0006-0000-0500-000014000000}">
      <text>
        <r>
          <rPr>
            <sz val="8"/>
            <color indexed="81"/>
            <rFont val="Times New Roman"/>
            <family val="1"/>
          </rPr>
          <t>1.  Direct input from Cell O16
2.  Calculated from peak antenna gain 
     (Cell P9) and system noise temperature 
     (Cells P15, J16)
3.  Left blank</t>
        </r>
      </text>
    </comment>
    <comment ref="D16" authorId="0" shapeId="0" xr:uid="{00000000-0006-0000-0500-000015000000}">
      <text>
        <r>
          <rPr>
            <sz val="8"/>
            <color indexed="81"/>
            <rFont val="Times New Roman"/>
            <family val="1"/>
          </rPr>
          <t>1.  Direct input from Cell C16
2.  Left blank</t>
        </r>
      </text>
    </comment>
    <comment ref="J16" authorId="0" shapeId="0" xr:uid="{00000000-0006-0000-0500-000016000000}">
      <text>
        <r>
          <rPr>
            <sz val="8"/>
            <color indexed="81"/>
            <rFont val="Times New Roman"/>
            <family val="1"/>
          </rPr>
          <t>1.  Direct input from Cell I15
2.  Calculated from nadir angle if input directly 
     (Cell I16), Eqn 5-26, p 113
3.  Retrieved from "Orbits - Geometry"
4.  Left blank</t>
        </r>
      </text>
    </comment>
    <comment ref="D17" authorId="0" shapeId="0" xr:uid="{00000000-0006-0000-0500-000017000000}">
      <text>
        <r>
          <rPr>
            <sz val="8"/>
            <color indexed="81"/>
            <rFont val="Times New Roman"/>
            <family val="1"/>
          </rPr>
          <t>Eqn 13-21, p 556</t>
        </r>
      </text>
    </comment>
    <comment ref="J17" authorId="0" shapeId="0" xr:uid="{00000000-0006-0000-0500-000018000000}">
      <text>
        <r>
          <rPr>
            <sz val="8"/>
            <color indexed="81"/>
            <rFont val="Times New Roman"/>
            <family val="1"/>
          </rPr>
          <t>Eqn 5-27, p 113</t>
        </r>
      </text>
    </comment>
    <comment ref="J18" authorId="0" shapeId="0" xr:uid="{00000000-0006-0000-0500-000019000000}">
      <text>
        <r>
          <rPr>
            <sz val="8"/>
            <color indexed="81"/>
            <rFont val="Times New Roman"/>
            <family val="1"/>
          </rPr>
          <t>Eqn 5-28, p 113</t>
        </r>
      </text>
    </comment>
    <comment ref="D19" authorId="0" shapeId="0" xr:uid="{00000000-0006-0000-0500-00001A000000}">
      <text>
        <r>
          <rPr>
            <sz val="8"/>
            <color indexed="81"/>
            <rFont val="Times New Roman"/>
            <family val="1"/>
          </rPr>
          <t>1.  Direct input from Cell C19
2.  Set equal to 100%</t>
        </r>
      </text>
    </comment>
    <comment ref="J20" authorId="0" shapeId="0" xr:uid="{00000000-0006-0000-0500-00001B000000}">
      <text>
        <r>
          <rPr>
            <sz val="8"/>
            <color indexed="81"/>
            <rFont val="Times New Roman"/>
            <family val="1"/>
          </rPr>
          <t>1.  Direct input from Cell I20 (always negative)
2.  Set to -0.06 if frequency (Cell D30) is less than 10 GHz
3.  Set to -0.60 if frequency is less than 40 GHz
4.  Left blank</t>
        </r>
      </text>
    </comment>
    <comment ref="J21" authorId="0" shapeId="0" xr:uid="{00000000-0006-0000-0500-00001C000000}">
      <text>
        <r>
          <rPr>
            <sz val="8"/>
            <color indexed="81"/>
            <rFont val="Times New Roman"/>
            <family val="1"/>
          </rPr>
          <t>1.  Direct input from Cell I21 (always a negative value)
2.  Set to 0 if frequency (Cell D30) is less than 7 GHz
3.  Left blank</t>
        </r>
      </text>
    </comment>
    <comment ref="J22" authorId="0" shapeId="0" xr:uid="{00000000-0006-0000-0500-00001D000000}">
      <text>
        <r>
          <rPr>
            <sz val="8"/>
            <color indexed="81"/>
            <rFont val="Times New Roman"/>
            <family val="1"/>
          </rPr>
          <t>Eqn 13-27, p 565
Set to zero if rain attenuation value (Cell J21) is not available</t>
        </r>
      </text>
    </comment>
    <comment ref="P23" authorId="0" shapeId="0" xr:uid="{00000000-0006-0000-0500-00001E000000}">
      <text>
        <r>
          <rPr>
            <sz val="8"/>
            <color indexed="81"/>
            <rFont val="Times New Roman"/>
            <family val="1"/>
          </rPr>
          <t>Calculated from antenna diameter using information in Table 13-16, p 574</t>
        </r>
      </text>
    </comment>
    <comment ref="O25" authorId="0" shapeId="0" xr:uid="{00000000-0006-0000-0500-00001F000000}">
      <text>
        <r>
          <rPr>
            <sz val="8"/>
            <color indexed="81"/>
            <rFont val="Times New Roman"/>
            <family val="1"/>
          </rPr>
          <t>Calculated from output power using a curve fit in the "Constants" worksheet and information in Fig 13-158, p 575</t>
        </r>
      </text>
    </comment>
    <comment ref="P25" authorId="0" shapeId="0" xr:uid="{00000000-0006-0000-0500-000020000000}">
      <text>
        <r>
          <rPr>
            <sz val="8"/>
            <color indexed="81"/>
            <rFont val="Times New Roman"/>
            <family val="1"/>
          </rPr>
          <t>Calculated from output power using a curve fit in the "Constants" worksheet and information in Fig 13-158, p 575</t>
        </r>
      </text>
    </comment>
    <comment ref="N26" authorId="0" shapeId="0" xr:uid="{00000000-0006-0000-0500-000021000000}">
      <text>
        <r>
          <rPr>
            <sz val="8"/>
            <color indexed="81"/>
            <rFont val="Tahoma"/>
            <family val="2"/>
          </rPr>
          <t>Valid for output powers above 0.1 W</t>
        </r>
      </text>
    </comment>
    <comment ref="N27" authorId="0" shapeId="0" xr:uid="{00000000-0006-0000-0500-000022000000}">
      <text>
        <r>
          <rPr>
            <sz val="8"/>
            <color indexed="81"/>
            <rFont val="Tahoma"/>
            <family val="2"/>
          </rPr>
          <t>Valid for output powers above 0.1 W</t>
        </r>
      </text>
    </comment>
    <comment ref="J28" authorId="0" shapeId="0" xr:uid="{00000000-0006-0000-0500-000023000000}">
      <text>
        <r>
          <rPr>
            <sz val="8"/>
            <color indexed="81"/>
            <rFont val="Times New Roman"/>
            <family val="1"/>
          </rPr>
          <t>Retrieved from Cell D14</t>
        </r>
      </text>
    </comment>
    <comment ref="N28" authorId="0" shapeId="0" xr:uid="{00000000-0006-0000-0500-000024000000}">
      <text>
        <r>
          <rPr>
            <sz val="8"/>
            <color indexed="81"/>
            <rFont val="Tahoma"/>
            <family val="2"/>
          </rPr>
          <t>Valid for output powers above 0.1 W</t>
        </r>
      </text>
    </comment>
    <comment ref="J29" authorId="0" shapeId="0" xr:uid="{00000000-0006-0000-0500-000025000000}">
      <text>
        <r>
          <rPr>
            <sz val="8"/>
            <color indexed="81"/>
            <rFont val="Times New Roman"/>
            <family val="1"/>
          </rPr>
          <t>Eqn 13-22, p 556</t>
        </r>
      </text>
    </comment>
    <comment ref="D30" authorId="0" shapeId="0" xr:uid="{00000000-0006-0000-0500-000026000000}">
      <text>
        <r>
          <rPr>
            <sz val="8"/>
            <color indexed="81"/>
            <rFont val="Times New Roman"/>
            <family val="1"/>
          </rPr>
          <t>1.  Direct input from Cell C29
2.  Calculated from wavelength if 
     input directly (Cell C30)
3.  Left blank</t>
        </r>
      </text>
    </comment>
    <comment ref="J30" authorId="0" shapeId="0" xr:uid="{00000000-0006-0000-0500-000027000000}">
      <text>
        <r>
          <rPr>
            <sz val="8"/>
            <color indexed="81"/>
            <rFont val="Times New Roman"/>
            <family val="1"/>
          </rPr>
          <t>Calculated based on atmospheric attenuation at zenith and elevation angle, see p 564 (includes a -0.3 dB loss due to polarization mismatch, see comments on p 568)</t>
        </r>
      </text>
    </comment>
    <comment ref="D31" authorId="0" shapeId="0" xr:uid="{00000000-0006-0000-0500-000028000000}">
      <text>
        <r>
          <rPr>
            <sz val="8"/>
            <color indexed="81"/>
            <rFont val="Times New Roman"/>
            <family val="1"/>
          </rPr>
          <t>Eqn 9-1, p 255</t>
        </r>
      </text>
    </comment>
    <comment ref="J31" authorId="0" shapeId="0" xr:uid="{00000000-0006-0000-0500-000029000000}">
      <text>
        <r>
          <rPr>
            <sz val="8"/>
            <color indexed="81"/>
            <rFont val="Times New Roman"/>
            <family val="1"/>
          </rPr>
          <t>Retrieved from Cell J21</t>
        </r>
      </text>
    </comment>
    <comment ref="J32" authorId="0" shapeId="0" xr:uid="{00000000-0006-0000-0500-00002A000000}">
      <text>
        <r>
          <rPr>
            <sz val="8"/>
            <color indexed="81"/>
            <rFont val="Times New Roman"/>
            <family val="1"/>
          </rPr>
          <t>Retrieved from Cell P16</t>
        </r>
      </text>
    </comment>
    <comment ref="J33" authorId="0" shapeId="0" xr:uid="{00000000-0006-0000-0500-00002B000000}">
      <text>
        <r>
          <rPr>
            <sz val="8"/>
            <color indexed="81"/>
            <rFont val="Times New Roman"/>
            <family val="1"/>
          </rPr>
          <t>Retrieved from Cells D17 and P13</t>
        </r>
      </text>
    </comment>
    <comment ref="D34" authorId="0" shapeId="0" xr:uid="{00000000-0006-0000-0500-00002C000000}">
      <text>
        <r>
          <rPr>
            <sz val="8"/>
            <color indexed="81"/>
            <rFont val="Times New Roman"/>
            <family val="1"/>
          </rPr>
          <t>1.  Direct input from Cell D27
2.  Left blank</t>
        </r>
      </text>
    </comment>
    <comment ref="D35" authorId="0" shapeId="0" xr:uid="{00000000-0006-0000-0500-00002D000000}">
      <text>
        <r>
          <rPr>
            <sz val="8"/>
            <color indexed="81"/>
            <rFont val="Times New Roman"/>
            <family val="1"/>
          </rPr>
          <t>1.  Direct input from Cell D29
2.  Set to 1E-5</t>
        </r>
      </text>
    </comment>
    <comment ref="J35" authorId="0" shapeId="0" xr:uid="{00000000-0006-0000-0500-00002E000000}">
      <text>
        <r>
          <rPr>
            <sz val="8"/>
            <color indexed="81"/>
            <rFont val="Times New Roman"/>
            <family val="1"/>
          </rPr>
          <t>Eqn 13-8, 13-9, 13-10, p 554</t>
        </r>
      </text>
    </comment>
    <comment ref="D36" authorId="0" shapeId="0" xr:uid="{00000000-0006-0000-0500-00002F000000}">
      <text>
        <r>
          <rPr>
            <sz val="8"/>
            <color indexed="81"/>
            <rFont val="Times New Roman"/>
            <family val="1"/>
          </rPr>
          <t>1.  Direct input from Cell D30
2.  Set to 9.60</t>
        </r>
      </text>
    </comment>
    <comment ref="J36" authorId="0" shapeId="0" xr:uid="{00000000-0006-0000-0500-000030000000}">
      <text>
        <r>
          <rPr>
            <sz val="8"/>
            <color indexed="81"/>
            <rFont val="Times New Roman"/>
            <family val="1"/>
          </rPr>
          <t>Eqn 13-8, 13-10, p 554</t>
        </r>
      </text>
    </comment>
    <comment ref="J38" authorId="0" shapeId="0" xr:uid="{00000000-0006-0000-0500-000031000000}">
      <text>
        <r>
          <rPr>
            <sz val="8"/>
            <color indexed="81"/>
            <rFont val="Times New Roman"/>
            <family val="1"/>
          </rPr>
          <t>1.  Direct input from Cell I38 
     (always a negative value)
2.  Set to -2.0</t>
        </r>
      </text>
    </comment>
    <comment ref="J39" authorId="0" shapeId="0" xr:uid="{00000000-0006-0000-0500-000032000000}">
      <text>
        <r>
          <rPr>
            <sz val="8"/>
            <color indexed="81"/>
            <rFont val="Times New Roman"/>
            <family val="1"/>
          </rPr>
          <t>see p 568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David J. Cloud</author>
    <author>Johan Vennekens</author>
  </authors>
  <commentList>
    <comment ref="D7" authorId="0" shapeId="0" xr:uid="{00000000-0006-0000-0600-000001000000}">
      <text>
        <r>
          <rPr>
            <sz val="8"/>
            <color indexed="81"/>
            <rFont val="Times New Roman"/>
            <family val="1"/>
          </rPr>
          <t>Calculated from output power in dB</t>
        </r>
      </text>
    </comment>
    <comment ref="J7" authorId="1" shapeId="0" xr:uid="{00000000-0006-0000-0600-000002000000}">
      <text>
        <r>
          <rPr>
            <b/>
            <sz val="9"/>
            <color indexed="81"/>
            <rFont val="Tahoma"/>
            <family val="2"/>
          </rPr>
          <t>Johan Vennekens:</t>
        </r>
        <r>
          <rPr>
            <sz val="9"/>
            <color indexed="81"/>
            <rFont val="Tahoma"/>
            <family val="2"/>
          </rPr>
          <t xml:space="preserve">
Add "Ellipse" when the orbit is elliptical
</t>
        </r>
      </text>
    </comment>
    <comment ref="P7" authorId="0" shapeId="0" xr:uid="{00000000-0006-0000-0600-000003000000}">
      <text>
        <r>
          <rPr>
            <sz val="8"/>
            <color indexed="81"/>
            <rFont val="Times New Roman"/>
            <family val="1"/>
          </rPr>
          <t>1.  Direct input from Cell O7
2.  Set to 55</t>
        </r>
      </text>
    </comment>
    <comment ref="D8" authorId="0" shapeId="0" xr:uid="{00000000-0006-0000-0600-000004000000}">
      <text>
        <r>
          <rPr>
            <sz val="8"/>
            <color indexed="81"/>
            <rFont val="Times New Roman"/>
            <family val="1"/>
          </rPr>
          <t>1.  Calculated from EIRP if input directly (Cell C14) and 
     peak antenna gain if available (Cell D12), Eqn 13-5, p 552
2.  Direct input from Cell C8
3.  Calculated from output power in W if input directly 
     (Cell C7)
4.  Left blank</t>
        </r>
      </text>
    </comment>
    <comment ref="P8" authorId="0" shapeId="0" xr:uid="{00000000-0006-0000-0600-000005000000}">
      <text>
        <r>
          <rPr>
            <sz val="8"/>
            <color indexed="81"/>
            <rFont val="Times New Roman"/>
            <family val="1"/>
          </rPr>
          <t>1.  Calculated from half-power beamwidth if 
     input directly (Cell O10), Eqn 13-19, p 555
2.  Direct input from Cell O8
3.  Calculated from peak antenna gain if 
     available (Cell O9), Eqn 13-7, p 553
4.  Left blank</t>
        </r>
      </text>
    </comment>
    <comment ref="D9" authorId="0" shapeId="0" xr:uid="{00000000-0006-0000-0600-000006000000}">
      <text>
        <r>
          <rPr>
            <sz val="8"/>
            <color indexed="81"/>
            <rFont val="Times New Roman"/>
            <family val="1"/>
          </rPr>
          <t>1.  Direct input from Cell C9 
     (always a negative value)
2.  Set to -3</t>
        </r>
      </text>
    </comment>
    <comment ref="P9" authorId="0" shapeId="0" xr:uid="{00000000-0006-0000-0600-000007000000}">
      <text>
        <r>
          <rPr>
            <sz val="8"/>
            <color indexed="81"/>
            <rFont val="Tahoma"/>
            <family val="2"/>
          </rPr>
          <t>1.  Calculated from antenna diameter if available 
     (Cell O8), Eqn 13-7, p 553
2.  Direct input from Cell O9
3.  Calculated from G/T if input directly (Cell O16), 
     system noise temp (Cell P15) and increase in 
     system noise temp (Cell J16) if available 
4.  Left blank</t>
        </r>
      </text>
    </comment>
    <comment ref="D10" authorId="0" shapeId="0" xr:uid="{00000000-0006-0000-0600-000008000000}">
      <text>
        <r>
          <rPr>
            <sz val="8"/>
            <color indexed="81"/>
            <rFont val="Times New Roman"/>
            <family val="1"/>
          </rPr>
          <t>1.  Direct input from Cell C10
2.  Set to 55</t>
        </r>
      </text>
    </comment>
    <comment ref="P10" authorId="0" shapeId="0" xr:uid="{00000000-0006-0000-0600-000009000000}">
      <text>
        <r>
          <rPr>
            <sz val="8"/>
            <color indexed="81"/>
            <rFont val="Tahoma"/>
            <family val="2"/>
          </rPr>
          <t>1.  Direct input from Cell O10
2.  Calculated from antenna diameter if input directly 
     (Cell O8), Eqn 13-19, p 555
3.  Calculated from peak antenna gain if 
     available (Cell O9), Eqn 13-19, p 555 &amp; 13-7, p 553
4.  Left blank</t>
        </r>
      </text>
    </comment>
    <comment ref="D11" authorId="0" shapeId="0" xr:uid="{00000000-0006-0000-0600-00000A000000}">
      <text>
        <r>
          <rPr>
            <sz val="8"/>
            <color indexed="81"/>
            <rFont val="Times New Roman"/>
            <family val="1"/>
          </rPr>
          <t>1.  Calculated from half-power beamwidth if 
     input directly (Cell C13), Eqn 13-19, p 555
2.  Direct input from Cell C11
3.  Calculated from peak antenna gain if 
     available (Cell D12), Eqn 13-7, p 553
4.  Left blank</t>
        </r>
      </text>
    </comment>
    <comment ref="D12" authorId="0" shapeId="0" xr:uid="{00000000-0006-0000-0600-00000B000000}">
      <text>
        <r>
          <rPr>
            <sz val="8"/>
            <color indexed="81"/>
            <rFont val="Times New Roman"/>
            <family val="1"/>
          </rPr>
          <t>1.  Calculated from antenna diameter if available 
     (Cell D11), Eqn 13-7, p 553
2.  Direct input from Cell C11
3.  Calculated from EIRP if input directly (Cell C14) and Output power is available (Cell D7), Eqn 13-5, p 552
4.  Left blank</t>
        </r>
      </text>
    </comment>
    <comment ref="J12" authorId="0" shapeId="0" xr:uid="{00000000-0006-0000-0600-00000C000000}">
      <text>
        <r>
          <rPr>
            <sz val="8"/>
            <color indexed="81"/>
            <rFont val="Times New Roman"/>
            <family val="1"/>
          </rPr>
          <t>1.  Direct input from Cell C13
2.  Retrieved from "Orbits - Geometry" (circular orbit altitude)
3.  Retrieved from "Orbits - Geometry" (perigee altitude)
4.  Left blank</t>
        </r>
      </text>
    </comment>
    <comment ref="P12" authorId="0" shapeId="0" xr:uid="{00000000-0006-0000-0600-00000D000000}">
      <text>
        <r>
          <rPr>
            <sz val="8"/>
            <color indexed="81"/>
            <rFont val="Times New Roman"/>
            <family val="1"/>
          </rPr>
          <t>1.  Set equal to 10% of half-power 
     beamwidth (Cell p10)
2.  Left blank</t>
        </r>
      </text>
    </comment>
    <comment ref="D13" authorId="0" shapeId="0" xr:uid="{00000000-0006-0000-0600-00000E000000}">
      <text>
        <r>
          <rPr>
            <sz val="8"/>
            <color indexed="81"/>
            <rFont val="Times New Roman"/>
            <family val="1"/>
          </rPr>
          <t>1.  Direct input from Cell C13
2.  Calculated from antenna diameter if input directly 
     (Cell C11), Eqn 13-19, p 555
3.  Calculated from peak antenna gain if 
     available (Cell D12), Eqn 13-19, p 555 &amp; 13-7, p 553
4.  Left blank</t>
        </r>
      </text>
    </comment>
    <comment ref="J13" authorId="0" shapeId="0" xr:uid="{00000000-0006-0000-0600-00000F000000}">
      <text>
        <r>
          <rPr>
            <sz val="8"/>
            <color indexed="81"/>
            <rFont val="Times New Roman"/>
            <family val="1"/>
          </rPr>
          <t>Eqn 5-28, p 113</t>
        </r>
      </text>
    </comment>
    <comment ref="P13" authorId="0" shapeId="0" xr:uid="{00000000-0006-0000-0600-000010000000}">
      <text>
        <r>
          <rPr>
            <sz val="8"/>
            <color indexed="81"/>
            <rFont val="Tahoma"/>
            <family val="2"/>
          </rPr>
          <t>Eqn 13-21, p 556</t>
        </r>
      </text>
    </comment>
    <comment ref="D14" authorId="0" shapeId="0" xr:uid="{00000000-0006-0000-0600-000011000000}">
      <text>
        <r>
          <rPr>
            <sz val="8"/>
            <color indexed="81"/>
            <rFont val="Times New Roman"/>
            <family val="1"/>
          </rPr>
          <t>1.  Direct input from Cell C14
2.  Calculated using Eqn 13-5, p 552
3.  Left blank</t>
        </r>
      </text>
    </comment>
    <comment ref="P15" authorId="0" shapeId="0" xr:uid="{00000000-0006-0000-0600-000012000000}">
      <text>
        <r>
          <rPr>
            <sz val="8"/>
            <color indexed="81"/>
            <rFont val="Times New Roman"/>
            <family val="1"/>
          </rPr>
          <t>1.  Calculated from G/T (Cell P16), Peak antenna gain 
     (Cell P8), and Increase in system noise temp 
     (Cell J16) if available
2.  Direct input from Cell O15
3.  Set equal to 260</t>
        </r>
      </text>
    </comment>
    <comment ref="D16" authorId="0" shapeId="0" xr:uid="{00000000-0006-0000-0600-000013000000}">
      <text>
        <r>
          <rPr>
            <sz val="8"/>
            <color indexed="81"/>
            <rFont val="Times New Roman"/>
            <family val="1"/>
          </rPr>
          <t>1.  Direct input from Cell C16
2.  Left blank</t>
        </r>
      </text>
    </comment>
    <comment ref="P16" authorId="0" shapeId="0" xr:uid="{00000000-0006-0000-0600-000014000000}">
      <text>
        <r>
          <rPr>
            <sz val="8"/>
            <color indexed="81"/>
            <rFont val="Times New Roman"/>
            <family val="1"/>
          </rPr>
          <t>1.  Direct input from Cell O16
2.  Calculated from peak antenna gain 
     (Cell P9) and system noise temperature 
     (Cells P15, J16)
3.  Left blank</t>
        </r>
      </text>
    </comment>
    <comment ref="D17" authorId="0" shapeId="0" xr:uid="{00000000-0006-0000-0600-000015000000}">
      <text>
        <r>
          <rPr>
            <sz val="8"/>
            <color indexed="81"/>
            <rFont val="Times New Roman"/>
            <family val="1"/>
          </rPr>
          <t>Eqn 13-21, p 556</t>
        </r>
      </text>
    </comment>
    <comment ref="D19" authorId="0" shapeId="0" xr:uid="{00000000-0006-0000-0600-000016000000}">
      <text>
        <r>
          <rPr>
            <sz val="8"/>
            <color indexed="81"/>
            <rFont val="Times New Roman"/>
            <family val="1"/>
          </rPr>
          <t>1.  Direct input from Cell C19
2.  Set equal to 100%</t>
        </r>
      </text>
    </comment>
    <comment ref="P23" authorId="0" shapeId="0" xr:uid="{00000000-0006-0000-0600-000017000000}">
      <text>
        <r>
          <rPr>
            <sz val="8"/>
            <color indexed="81"/>
            <rFont val="Times New Roman"/>
            <family val="1"/>
          </rPr>
          <t>Calculated from antenna diameter using information in Table 13-16, p 574</t>
        </r>
      </text>
    </comment>
    <comment ref="O25" authorId="0" shapeId="0" xr:uid="{00000000-0006-0000-0600-000018000000}">
      <text>
        <r>
          <rPr>
            <sz val="8"/>
            <color indexed="81"/>
            <rFont val="Times New Roman"/>
            <family val="1"/>
          </rPr>
          <t>Calculated from output power using a curve fit in the "Constants" worksheet and information in Fig 13-158, p 575</t>
        </r>
      </text>
    </comment>
    <comment ref="P25" authorId="0" shapeId="0" xr:uid="{00000000-0006-0000-0600-000019000000}">
      <text>
        <r>
          <rPr>
            <sz val="8"/>
            <color indexed="81"/>
            <rFont val="Times New Roman"/>
            <family val="1"/>
          </rPr>
          <t>Calculated from output power using a curve fit in the "Constants" worksheet and information in Fig 13-158, p 575</t>
        </r>
      </text>
    </comment>
    <comment ref="N26" authorId="0" shapeId="0" xr:uid="{00000000-0006-0000-0600-00001A000000}">
      <text>
        <r>
          <rPr>
            <sz val="8"/>
            <color indexed="81"/>
            <rFont val="Tahoma"/>
            <family val="2"/>
          </rPr>
          <t>Valid for output powers above 0.1 W</t>
        </r>
      </text>
    </comment>
    <comment ref="J27" authorId="0" shapeId="0" xr:uid="{00000000-0006-0000-0600-00001B000000}">
      <text>
        <r>
          <rPr>
            <sz val="8"/>
            <color indexed="81"/>
            <rFont val="Times New Roman"/>
            <family val="1"/>
          </rPr>
          <t>Retrieved from Cell D14</t>
        </r>
      </text>
    </comment>
    <comment ref="N27" authorId="0" shapeId="0" xr:uid="{00000000-0006-0000-0600-00001C000000}">
      <text>
        <r>
          <rPr>
            <sz val="8"/>
            <color indexed="81"/>
            <rFont val="Tahoma"/>
            <family val="2"/>
          </rPr>
          <t>Valid for output powers above 0.1 W</t>
        </r>
      </text>
    </comment>
    <comment ref="J28" authorId="0" shapeId="0" xr:uid="{00000000-0006-0000-0600-00001D000000}">
      <text>
        <r>
          <rPr>
            <sz val="8"/>
            <color indexed="81"/>
            <rFont val="Times New Roman"/>
            <family val="1"/>
          </rPr>
          <t>Eqn 13-22, p 556</t>
        </r>
      </text>
    </comment>
    <comment ref="N28" authorId="0" shapeId="0" xr:uid="{00000000-0006-0000-0600-00001E000000}">
      <text>
        <r>
          <rPr>
            <sz val="8"/>
            <color indexed="81"/>
            <rFont val="Tahoma"/>
            <family val="2"/>
          </rPr>
          <t>Valid for output powers above 0.1 W</t>
        </r>
      </text>
    </comment>
    <comment ref="D29" authorId="0" shapeId="0" xr:uid="{00000000-0006-0000-0600-00001F000000}">
      <text>
        <r>
          <rPr>
            <sz val="8"/>
            <color indexed="81"/>
            <rFont val="Times New Roman"/>
            <family val="1"/>
          </rPr>
          <t>1.  Direct input from Cell C29
2.  Calculated from wavelength if 
     input directly (Cell C30)
3.  Left blank</t>
        </r>
      </text>
    </comment>
    <comment ref="J29" authorId="0" shapeId="0" xr:uid="{00000000-0006-0000-0600-000020000000}">
      <text>
        <r>
          <rPr>
            <sz val="8"/>
            <color indexed="81"/>
            <rFont val="Times New Roman"/>
            <family val="1"/>
          </rPr>
          <t>Calculated based on atmospheric attenuation at zenith and elevation angle, see p 564 (includes a -0.3 dB loss due to polarization mismatch, see comments on p 568)</t>
        </r>
      </text>
    </comment>
    <comment ref="D30" authorId="0" shapeId="0" xr:uid="{00000000-0006-0000-0600-000021000000}">
      <text>
        <r>
          <rPr>
            <sz val="8"/>
            <color indexed="81"/>
            <rFont val="Times New Roman"/>
            <family val="1"/>
          </rPr>
          <t>Eqn 9-1, p 255</t>
        </r>
      </text>
    </comment>
    <comment ref="J30" authorId="0" shapeId="0" xr:uid="{00000000-0006-0000-0600-000022000000}">
      <text>
        <r>
          <rPr>
            <sz val="8"/>
            <color indexed="81"/>
            <rFont val="Times New Roman"/>
            <family val="1"/>
          </rPr>
          <t>Retrieved from Cell P16</t>
        </r>
      </text>
    </comment>
    <comment ref="J31" authorId="0" shapeId="0" xr:uid="{00000000-0006-0000-0600-000023000000}">
      <text>
        <r>
          <rPr>
            <sz val="8"/>
            <color indexed="81"/>
            <rFont val="Times New Roman"/>
            <family val="1"/>
          </rPr>
          <t>Retrieved from Cells D17 and P13</t>
        </r>
      </text>
    </comment>
    <comment ref="D33" authorId="0" shapeId="0" xr:uid="{00000000-0006-0000-0600-000024000000}">
      <text>
        <r>
          <rPr>
            <sz val="8"/>
            <color indexed="81"/>
            <rFont val="Times New Roman"/>
            <family val="1"/>
          </rPr>
          <t>1.  Direct input from Cell D27
2.  Left blank</t>
        </r>
      </text>
    </comment>
    <comment ref="J33" authorId="0" shapeId="0" xr:uid="{00000000-0006-0000-0600-000025000000}">
      <text>
        <r>
          <rPr>
            <sz val="8"/>
            <color indexed="81"/>
            <rFont val="Times New Roman"/>
            <family val="1"/>
          </rPr>
          <t>Eqn 13-8, 13-9, 13-10, p 554</t>
        </r>
      </text>
    </comment>
    <comment ref="D34" authorId="0" shapeId="0" xr:uid="{00000000-0006-0000-0600-000026000000}">
      <text>
        <r>
          <rPr>
            <sz val="8"/>
            <color indexed="81"/>
            <rFont val="Times New Roman"/>
            <family val="1"/>
          </rPr>
          <t>1.  Direct input from Cell D29
2.  Set to 1E-5</t>
        </r>
      </text>
    </comment>
    <comment ref="J34" authorId="0" shapeId="0" xr:uid="{00000000-0006-0000-0600-000027000000}">
      <text>
        <r>
          <rPr>
            <sz val="8"/>
            <color indexed="81"/>
            <rFont val="Times New Roman"/>
            <family val="1"/>
          </rPr>
          <t>Eqn 13-8, 13-10, p 554</t>
        </r>
      </text>
    </comment>
    <comment ref="D35" authorId="0" shapeId="0" xr:uid="{00000000-0006-0000-0600-000028000000}">
      <text>
        <r>
          <rPr>
            <sz val="8"/>
            <color indexed="81"/>
            <rFont val="Times New Roman"/>
            <family val="1"/>
          </rPr>
          <t>1.  Direct input from Cell D30
2.  Set to 9.60</t>
        </r>
      </text>
    </comment>
    <comment ref="J36" authorId="0" shapeId="0" xr:uid="{00000000-0006-0000-0600-000029000000}">
      <text>
        <r>
          <rPr>
            <sz val="8"/>
            <color indexed="81"/>
            <rFont val="Times New Roman"/>
            <family val="1"/>
          </rPr>
          <t>1.  Direct input from Cell I38 
     (always a negative value)
2.  Set to -2.0</t>
        </r>
      </text>
    </comment>
    <comment ref="J37" authorId="0" shapeId="0" xr:uid="{00000000-0006-0000-0600-00002A000000}">
      <text>
        <r>
          <rPr>
            <sz val="8"/>
            <color indexed="81"/>
            <rFont val="Times New Roman"/>
            <family val="1"/>
          </rPr>
          <t>see p 568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Loris Franchi</author>
  </authors>
  <commentList>
    <comment ref="D6" authorId="0" shapeId="0" xr:uid="{00000000-0006-0000-0700-000001000000}">
      <text>
        <r>
          <rPr>
            <b/>
            <sz val="9"/>
            <color indexed="81"/>
            <rFont val="Tahoma"/>
            <family val="2"/>
          </rPr>
          <t>Loris Franchi:</t>
        </r>
        <r>
          <rPr>
            <sz val="9"/>
            <color indexed="81"/>
            <rFont val="Tahoma"/>
            <family val="2"/>
          </rPr>
          <t xml:space="preserve">
Marco was with wrong Sheet name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Loris Franchi</author>
    <author>customer</author>
  </authors>
  <commentList>
    <comment ref="A7" authorId="0" shapeId="0" xr:uid="{2E59223F-5095-4CC2-B77D-6F990587E7BD}">
      <text>
        <r>
          <rPr>
            <b/>
            <sz val="9"/>
            <color indexed="81"/>
            <rFont val="Tahoma"/>
            <family val="2"/>
          </rPr>
          <t>Loris Franchi:</t>
        </r>
        <r>
          <rPr>
            <sz val="9"/>
            <color indexed="81"/>
            <rFont val="Tahoma"/>
            <family val="2"/>
          </rPr>
          <t xml:space="preserve">
http://www.qsl.net/n1bwt/chap1.pdf</t>
        </r>
      </text>
    </comment>
    <comment ref="A17" authorId="0" shapeId="0" xr:uid="{5B63F817-53DD-42BF-97ED-71FB7404D575}">
      <text>
        <r>
          <rPr>
            <b/>
            <sz val="9"/>
            <color indexed="81"/>
            <rFont val="Tahoma"/>
            <family val="2"/>
          </rPr>
          <t>Loris Franchi:</t>
        </r>
        <r>
          <rPr>
            <sz val="9"/>
            <color indexed="81"/>
            <rFont val="Tahoma"/>
            <family val="2"/>
          </rPr>
          <t xml:space="preserve">
http://www.qsl.net/n1bwt/chap1.pdf</t>
        </r>
      </text>
    </comment>
    <comment ref="V22" authorId="1" shapeId="0" xr:uid="{64E44F5B-E1D2-4C28-B445-179269C06A21}">
      <text>
        <r>
          <rPr>
            <sz val="10"/>
            <color indexed="81"/>
            <rFont val="Tahoma"/>
            <family val="2"/>
          </rPr>
          <t>Link Model Operator Must Set Antenna Parameters at Cells T48 and V48.</t>
        </r>
        <r>
          <rPr>
            <sz val="8"/>
            <color indexed="81"/>
            <rFont val="Tahoma"/>
            <family val="2"/>
          </rPr>
          <t xml:space="preserve">
</t>
        </r>
      </text>
    </comment>
    <comment ref="Z22" authorId="1" shapeId="0" xr:uid="{7800B231-7CF2-4D43-BC13-0D248D28F233}">
      <text>
        <r>
          <rPr>
            <sz val="10"/>
            <color indexed="81"/>
            <rFont val="Tahoma"/>
            <family val="2"/>
          </rPr>
          <t>Link Model Operator Must Set Antenna Parameters at Cells T48 and V48.</t>
        </r>
        <r>
          <rPr>
            <sz val="8"/>
            <color indexed="81"/>
            <rFont val="Tahoma"/>
            <family val="2"/>
          </rPr>
          <t xml:space="preserve">
</t>
        </r>
      </text>
    </comment>
    <comment ref="A28" authorId="0" shapeId="0" xr:uid="{DC80D2F4-D205-4BDC-A973-F9AB740BB91C}">
      <text>
        <r>
          <rPr>
            <b/>
            <sz val="9"/>
            <color indexed="81"/>
            <rFont val="Tahoma"/>
            <family val="2"/>
          </rPr>
          <t>Loris Franchi:</t>
        </r>
        <r>
          <rPr>
            <sz val="9"/>
            <color indexed="81"/>
            <rFont val="Tahoma"/>
            <family val="2"/>
          </rPr>
          <t xml:space="preserve">
 https://ccnet.stanford.edu/cgi-bin/course.cgi?cc=ee144&amp;action=handout_download&amp;handout_id=ID11797377905639</t>
        </r>
      </text>
    </comment>
    <comment ref="A39" authorId="0" shapeId="0" xr:uid="{70AA7395-2AC5-4355-B7A4-06340732B377}">
      <text>
        <r>
          <rPr>
            <b/>
            <sz val="9"/>
            <color indexed="81"/>
            <rFont val="Tahoma"/>
            <family val="2"/>
          </rPr>
          <t>Loris Franchi:</t>
        </r>
        <r>
          <rPr>
            <sz val="9"/>
            <color indexed="81"/>
            <rFont val="Tahoma"/>
            <family val="2"/>
          </rPr>
          <t xml:space="preserve">
 https://ccnet.stanford.edu/cgi-bin/course.cgi?cc=ee144&amp;action=handout_download&amp;handout_id=ID11797377905639</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Loris Franchi</author>
  </authors>
  <commentList>
    <comment ref="U45" authorId="0" shapeId="0" xr:uid="{00000000-0006-0000-0B00-000001000000}">
      <text>
        <r>
          <rPr>
            <b/>
            <sz val="9"/>
            <color indexed="81"/>
            <rFont val="Tahoma"/>
            <family val="2"/>
          </rPr>
          <t>Loris Franchi:</t>
        </r>
        <r>
          <rPr>
            <sz val="9"/>
            <color indexed="81"/>
            <rFont val="Tahoma"/>
            <family val="2"/>
          </rPr>
          <t xml:space="preserve">
Assumed Circular Orbit</t>
        </r>
      </text>
    </comment>
  </commentList>
</comments>
</file>

<file path=xl/sharedStrings.xml><?xml version="1.0" encoding="utf-8"?>
<sst xmlns="http://schemas.openxmlformats.org/spreadsheetml/2006/main" count="1283" uniqueCount="540">
  <si>
    <t>Orbit Altitude (circular orbit)</t>
  </si>
  <si>
    <t>km</t>
  </si>
  <si>
    <t>Minimum Elevation Angle</t>
  </si>
  <si>
    <t>Maximum Nadir Angle</t>
  </si>
  <si>
    <t>Payload</t>
  </si>
  <si>
    <t>Data Rate (scanning sensor)</t>
  </si>
  <si>
    <t>Data Rate (staring sensor)</t>
  </si>
  <si>
    <t xml:space="preserve"> </t>
  </si>
  <si>
    <t>Frequency</t>
  </si>
  <si>
    <t>GHz</t>
  </si>
  <si>
    <t>Data rate</t>
  </si>
  <si>
    <t>bps</t>
  </si>
  <si>
    <t>Probability of Bit Error</t>
  </si>
  <si>
    <t>Wavelength</t>
  </si>
  <si>
    <t>m</t>
  </si>
  <si>
    <t>Required Eb/No</t>
  </si>
  <si>
    <t>dB</t>
  </si>
  <si>
    <t>Ground Transmitter</t>
  </si>
  <si>
    <t>Geometry &amp; Atmosphere</t>
  </si>
  <si>
    <t>Spacecraft Receiver</t>
  </si>
  <si>
    <t>Output power</t>
  </si>
  <si>
    <t>W</t>
  </si>
  <si>
    <t>Altitude</t>
  </si>
  <si>
    <t>Antenna efficiency</t>
  </si>
  <si>
    <t>Earth angular radius</t>
  </si>
  <si>
    <t>deg</t>
  </si>
  <si>
    <t>Antenna diameter</t>
  </si>
  <si>
    <t>Line loss</t>
  </si>
  <si>
    <t>Elevation angle</t>
  </si>
  <si>
    <t>Peak antenna gain</t>
  </si>
  <si>
    <t>Nadir angle</t>
  </si>
  <si>
    <t>Half-power beamwidth</t>
  </si>
  <si>
    <t>Earth central angle</t>
  </si>
  <si>
    <t>Propagation path length</t>
  </si>
  <si>
    <t>Pointing error</t>
  </si>
  <si>
    <t>Antenna pointing loss</t>
  </si>
  <si>
    <t>EIRP</t>
  </si>
  <si>
    <t>Atmospheric attenuation at zenith</t>
  </si>
  <si>
    <t>Rain attenuation</t>
  </si>
  <si>
    <t>System noise temperature</t>
  </si>
  <si>
    <t>K</t>
  </si>
  <si>
    <t>Increase in system noise temp</t>
  </si>
  <si>
    <t>G/T</t>
  </si>
  <si>
    <t>Link Budget</t>
  </si>
  <si>
    <t>Mass Estimate</t>
  </si>
  <si>
    <t>Receive Antenna</t>
  </si>
  <si>
    <t>Space loss</t>
  </si>
  <si>
    <t xml:space="preserve">     Mass</t>
  </si>
  <si>
    <t>kg</t>
  </si>
  <si>
    <t>Atmospheric attenuation</t>
  </si>
  <si>
    <t>Antenna pointing losses</t>
  </si>
  <si>
    <t>Eb/No</t>
  </si>
  <si>
    <t>C/No</t>
  </si>
  <si>
    <t>Implementation loss</t>
  </si>
  <si>
    <t>Margin</t>
  </si>
  <si>
    <t>Spacecraft Transmitter</t>
  </si>
  <si>
    <t>Ground Receiver</t>
  </si>
  <si>
    <t>Duty cycle (per orbit period)</t>
  </si>
  <si>
    <t>Mass &amp; Power Estimates</t>
  </si>
  <si>
    <t>Transmit Antenna</t>
  </si>
  <si>
    <t>TWTA</t>
  </si>
  <si>
    <t>SSPA</t>
  </si>
  <si>
    <t>Transmitter mass</t>
  </si>
  <si>
    <t>Peak transmitter input power</t>
  </si>
  <si>
    <t>Average transmitter input power</t>
  </si>
  <si>
    <t>Propulsion</t>
  </si>
  <si>
    <t>Communications</t>
  </si>
  <si>
    <t>Power</t>
  </si>
  <si>
    <t>Speed of Light</t>
  </si>
  <si>
    <t>m/s</t>
  </si>
  <si>
    <t>Planck's Constant</t>
  </si>
  <si>
    <t>W-s^2</t>
  </si>
  <si>
    <t>Boltzmann's Constant</t>
  </si>
  <si>
    <t>W-s/K</t>
  </si>
  <si>
    <t>Density</t>
  </si>
  <si>
    <t>Curve Fit Coefficients</t>
  </si>
  <si>
    <t>Stefan-Boltzmann Constant</t>
  </si>
  <si>
    <t>W/m^2/K^4</t>
  </si>
  <si>
    <t>Scale Height</t>
  </si>
  <si>
    <t>Min</t>
  </si>
  <si>
    <t>Mean</t>
  </si>
  <si>
    <t>Max</t>
  </si>
  <si>
    <t>km^3/sec^2</t>
  </si>
  <si>
    <t>tesla-m^2</t>
  </si>
  <si>
    <t>W/m^2</t>
  </si>
  <si>
    <t>Rain Temperature</t>
  </si>
  <si>
    <t>Conversion from inches to meters</t>
  </si>
  <si>
    <t>Percentage of</t>
  </si>
  <si>
    <t>S/C dry mass</t>
  </si>
  <si>
    <t>TT&amp;C</t>
  </si>
  <si>
    <t>Structure</t>
  </si>
  <si>
    <t>ADCS</t>
  </si>
  <si>
    <t>Thermal</t>
  </si>
  <si>
    <t>Percent of Operating Power</t>
  </si>
  <si>
    <t>Attitude Control</t>
  </si>
  <si>
    <t>C&amp;DH</t>
  </si>
  <si>
    <t>% between</t>
  </si>
  <si>
    <t>Min Mass</t>
  </si>
  <si>
    <t>Max Mass</t>
  </si>
  <si>
    <t>Min Power</t>
  </si>
  <si>
    <t>Max Power</t>
  </si>
  <si>
    <t>min &amp; max</t>
  </si>
  <si>
    <t>Mass (kg)</t>
  </si>
  <si>
    <t>Power (W)</t>
  </si>
  <si>
    <t>Earth Sensor</t>
  </si>
  <si>
    <t>Sun Sensor</t>
  </si>
  <si>
    <t>Star Sensor</t>
  </si>
  <si>
    <t>Magnetometer</t>
  </si>
  <si>
    <t>Gyroscope</t>
  </si>
  <si>
    <t>Output</t>
  </si>
  <si>
    <t>Input</t>
  </si>
  <si>
    <t>Curve Fit</t>
  </si>
  <si>
    <t>DT D</t>
  </si>
  <si>
    <t>(DT D)^-1</t>
  </si>
  <si>
    <t>DT y</t>
  </si>
  <si>
    <t>Coefficients</t>
  </si>
  <si>
    <t>Mass</t>
  </si>
  <si>
    <t>Nickel-Hydrogen</t>
  </si>
  <si>
    <t xml:space="preserve">DOD = </t>
  </si>
  <si>
    <t>log10(cycles)</t>
  </si>
  <si>
    <t>+</t>
  </si>
  <si>
    <t>Nickel-Cadmium</t>
  </si>
  <si>
    <t>For cylinder variable below 300</t>
  </si>
  <si>
    <t>For cylinder variable at or above 300</t>
  </si>
  <si>
    <t>Cylinder</t>
  </si>
  <si>
    <t>Buckling</t>
  </si>
  <si>
    <t>Variable</t>
  </si>
  <si>
    <t>Coeff</t>
  </si>
  <si>
    <t>Fiscal</t>
  </si>
  <si>
    <t>Inflation</t>
  </si>
  <si>
    <t>Year</t>
  </si>
  <si>
    <t>Factor to</t>
  </si>
  <si>
    <t>Base Year 2000</t>
  </si>
  <si>
    <t>Fraction of</t>
  </si>
  <si>
    <t>Non-Recurring</t>
  </si>
  <si>
    <t>Recurring</t>
  </si>
  <si>
    <t>S/C Bus Cost</t>
  </si>
  <si>
    <t>Percentage</t>
  </si>
  <si>
    <t>Spacecraft Bus</t>
  </si>
  <si>
    <t>Integration Assembly &amp; Test</t>
  </si>
  <si>
    <t>Program Level</t>
  </si>
  <si>
    <t>Ground Support Equipment</t>
  </si>
  <si>
    <t>Launch &amp; Orbital Ops Support</t>
  </si>
  <si>
    <t>New design with advanced development</t>
  </si>
  <si>
    <t>Nominal new design</t>
  </si>
  <si>
    <t>Major modification to existing design</t>
  </si>
  <si>
    <t>Moderate modifications to existing design</t>
  </si>
  <si>
    <t>Basically existing design</t>
  </si>
  <si>
    <t>TWTA Transmitter Mass</t>
  </si>
  <si>
    <t>SSPA Transmitter Mass</t>
  </si>
  <si>
    <t>TWTA Transmitter Peak Input Power</t>
  </si>
  <si>
    <t>SSPA Transmitter Peak Input Power</t>
  </si>
  <si>
    <t>TWTA Transmitter Average Input Power</t>
  </si>
  <si>
    <t>SSPA Transmitter Average Input Power</t>
  </si>
  <si>
    <t>Transmitter Antenna Mass</t>
  </si>
  <si>
    <t>Receiver Antenna Mass</t>
  </si>
  <si>
    <t>Downlink Data Rate</t>
  </si>
  <si>
    <t>Signal Characteristics</t>
  </si>
  <si>
    <t>Other</t>
  </si>
  <si>
    <t>L-band</t>
  </si>
  <si>
    <t>S-band</t>
  </si>
  <si>
    <t>C-band</t>
  </si>
  <si>
    <t>X-band</t>
  </si>
  <si>
    <t>Ku-band</t>
  </si>
  <si>
    <t>Ka-band</t>
  </si>
  <si>
    <t>(All information on this sheet is contained in the block from Cell A1 to Cell W33)</t>
  </si>
  <si>
    <t>Calculations</t>
  </si>
  <si>
    <t>Inputs from OCDT</t>
  </si>
  <si>
    <t>Outputs to OCDT</t>
  </si>
  <si>
    <t>bit/s</t>
  </si>
  <si>
    <t>kbit/s</t>
  </si>
  <si>
    <t>Option:</t>
  </si>
  <si>
    <t>[m]</t>
  </si>
  <si>
    <t>Frequency band</t>
  </si>
  <si>
    <t>[alt]</t>
  </si>
  <si>
    <t>[alt_peri]</t>
  </si>
  <si>
    <t>[data_rate]</t>
  </si>
  <si>
    <t>[ang_elev_min]</t>
  </si>
  <si>
    <t>default</t>
  </si>
  <si>
    <t>[ang_nadir_max]</t>
  </si>
  <si>
    <t>Drag Table</t>
  </si>
  <si>
    <t>Sun - Gravitational Constant</t>
  </si>
  <si>
    <t>Radius of Earth Orbit around the Sun</t>
  </si>
  <si>
    <t>Earth - Orbital Period</t>
  </si>
  <si>
    <t>days</t>
  </si>
  <si>
    <t>Earth - Radius</t>
  </si>
  <si>
    <t>Earth - Gravitational Constant</t>
  </si>
  <si>
    <t>Earth - Sidereal Day</t>
  </si>
  <si>
    <t>hours</t>
  </si>
  <si>
    <t>Earth - Solar Day</t>
  </si>
  <si>
    <t>Radius of Planet Orbit around the Sun (AU)</t>
  </si>
  <si>
    <t>Planet - Orbital Period</t>
  </si>
  <si>
    <t>Planet - Radius</t>
  </si>
  <si>
    <t>Planet - Gravitational Constant</t>
  </si>
  <si>
    <t>Planet - J2</t>
  </si>
  <si>
    <t>Planet - Moon Node Precession Coefficient</t>
  </si>
  <si>
    <t>Planet - Sun Node Precession Coefficient</t>
  </si>
  <si>
    <t>Planet - Moon Perigee Rotation Coefficient</t>
  </si>
  <si>
    <t>Planet - Sun Perigee Rotation Coefficient</t>
  </si>
  <si>
    <t>Planet - Sidereal Day</t>
  </si>
  <si>
    <t>Planet - Solar Day</t>
  </si>
  <si>
    <t>Planet - Velocity at Equator</t>
  </si>
  <si>
    <t>Planet - Magnetic Moment</t>
  </si>
  <si>
    <t>Planet - Maximum IR Emission</t>
  </si>
  <si>
    <t>Mass Distribution for Selected Spacecraft</t>
  </si>
  <si>
    <t>Planets Data</t>
  </si>
  <si>
    <t>AU</t>
  </si>
  <si>
    <t>Max_IR</t>
  </si>
  <si>
    <t>Min_IR</t>
  </si>
  <si>
    <t>Albedo</t>
  </si>
  <si>
    <t>Mu</t>
  </si>
  <si>
    <t>Radius</t>
  </si>
  <si>
    <t>J2</t>
  </si>
  <si>
    <t>Solar Day</t>
  </si>
  <si>
    <t>Orbital Period (Sidereal )</t>
  </si>
  <si>
    <t>Magnetic Moment</t>
  </si>
  <si>
    <t>Percent of Atmosphere</t>
  </si>
  <si>
    <t>Planet - Minimum IR Emission</t>
  </si>
  <si>
    <t>Mercury</t>
  </si>
  <si>
    <t>Planet - Maximum Solar Flux</t>
  </si>
  <si>
    <t>Venus</t>
  </si>
  <si>
    <t>Planet - Albedo</t>
  </si>
  <si>
    <t>Earth</t>
  </si>
  <si>
    <t>Planet - Average Solar Flux</t>
  </si>
  <si>
    <t>Moon</t>
  </si>
  <si>
    <t>Planet - Percent of Earth's Atmosphere</t>
  </si>
  <si>
    <t>Mars</t>
  </si>
  <si>
    <t>Jupiter</t>
  </si>
  <si>
    <t>Saturn</t>
  </si>
  <si>
    <t>Uranus</t>
  </si>
  <si>
    <t>Typical Power Consumption</t>
  </si>
  <si>
    <t>Neptune</t>
  </si>
  <si>
    <t>Pluto/Charon</t>
  </si>
  <si>
    <t>Coversion Rad to Deg</t>
  </si>
  <si>
    <t>Target Body</t>
  </si>
  <si>
    <t>Semi-major Axis (AU)</t>
  </si>
  <si>
    <t>Sidereal Period (days)</t>
  </si>
  <si>
    <t>Synodic Period* (days)</t>
  </si>
  <si>
    <t>Hohmann Transfer Time (days)</t>
  </si>
  <si>
    <t>1st Opposition after 1/0/2001 (MM/DD/YYYY)</t>
  </si>
  <si>
    <t>Earth (E) to Target Body (T)</t>
  </si>
  <si>
    <t>Target Body (T) to Earth (E)</t>
  </si>
  <si>
    <t>Constants and Conversion Factors</t>
  </si>
  <si>
    <t>Departure Time relative to Opposition (days)</t>
  </si>
  <si>
    <t>Arrival Time relative to Opposition (days)</t>
  </si>
  <si>
    <t>1 day</t>
  </si>
  <si>
    <t>sec</t>
  </si>
  <si>
    <t>1 AU</t>
  </si>
  <si>
    <r>
      <t>μ</t>
    </r>
    <r>
      <rPr>
        <b/>
        <vertAlign val="subscript"/>
        <sz val="9"/>
        <rFont val="Geneva"/>
      </rPr>
      <t>Sun</t>
    </r>
  </si>
  <si>
    <r>
      <t>m</t>
    </r>
    <r>
      <rPr>
        <vertAlign val="superscript"/>
        <sz val="10"/>
        <rFont val="Geneva"/>
      </rPr>
      <t>3</t>
    </r>
    <r>
      <rPr>
        <sz val="10"/>
        <rFont val="Geneva"/>
      </rPr>
      <t>/s</t>
    </r>
    <r>
      <rPr>
        <vertAlign val="superscript"/>
        <sz val="10"/>
        <rFont val="Geneva"/>
      </rPr>
      <t>2</t>
    </r>
  </si>
  <si>
    <t>-</t>
  </si>
  <si>
    <t>E. semi-major axis</t>
  </si>
  <si>
    <t>Earth sidereal period</t>
  </si>
  <si>
    <t xml:space="preserve">ADCS Sensor Sizing </t>
  </si>
  <si>
    <t>Vesta</t>
  </si>
  <si>
    <t>Ceres</t>
  </si>
  <si>
    <t>Pluto</t>
  </si>
  <si>
    <t xml:space="preserve">Communications - Amplifiers  </t>
  </si>
  <si>
    <t xml:space="preserve">Secondary Batteries - Depth-of-Discharge vs. Cycle Life  </t>
  </si>
  <si>
    <t xml:space="preserve">Buckling Coefficient </t>
  </si>
  <si>
    <t>Inflation Factors</t>
  </si>
  <si>
    <t xml:space="preserve">Small Satellite Cost Breakdown  </t>
  </si>
  <si>
    <t>C&amp;DH Typical SLOC</t>
  </si>
  <si>
    <t>CSC(Computer software componets)</t>
  </si>
  <si>
    <t>SLOC</t>
  </si>
  <si>
    <t>Communication</t>
  </si>
  <si>
    <t>Command Processing</t>
  </si>
  <si>
    <t>Telemetry processing</t>
  </si>
  <si>
    <t>Telemetry processing (with compression)</t>
  </si>
  <si>
    <t>AOCS (sensors)</t>
  </si>
  <si>
    <t>Rate Gyro</t>
  </si>
  <si>
    <t>Magnetormeter</t>
  </si>
  <si>
    <t>Star Tracker (no id)</t>
  </si>
  <si>
    <t xml:space="preserve">Heritage Cost Factors  </t>
  </si>
  <si>
    <t>Star tracker output quaternion</t>
  </si>
  <si>
    <t>GPS(Position/velocity)</t>
  </si>
  <si>
    <t>GPS(Pseudo Range)</t>
  </si>
  <si>
    <t>AOCS</t>
  </si>
  <si>
    <t>Kintetik integration</t>
  </si>
  <si>
    <t>Kalman Filter</t>
  </si>
  <si>
    <t>Error Determination</t>
  </si>
  <si>
    <t>Process Control</t>
  </si>
  <si>
    <t>Ephemerisis Propagator</t>
  </si>
  <si>
    <t>Complex Ephemerisis</t>
  </si>
  <si>
    <t>Orbit Propagator (Linear)</t>
  </si>
  <si>
    <t>Orbit Propagator (Complex Envirolment)</t>
  </si>
  <si>
    <t>Actuator</t>
  </si>
  <si>
    <t>Magnetic control</t>
  </si>
  <si>
    <t>Thruster Control</t>
  </si>
  <si>
    <t>Reaction wheel control</t>
  </si>
  <si>
    <t>CMG control</t>
  </si>
  <si>
    <t>FDIR</t>
  </si>
  <si>
    <t>Monitor</t>
  </si>
  <si>
    <t>Fault identification</t>
  </si>
  <si>
    <t>Fault Correction</t>
  </si>
  <si>
    <t>Utilites</t>
  </si>
  <si>
    <t>Basic Math</t>
  </si>
  <si>
    <t>Trascendental Math</t>
  </si>
  <si>
    <t>Matrix Math</t>
  </si>
  <si>
    <t>Time Mng and conversion</t>
  </si>
  <si>
    <t>Coordinate conversion</t>
  </si>
  <si>
    <t>Momentum Mng</t>
  </si>
  <si>
    <t>Power Mng</t>
  </si>
  <si>
    <t>Thermal Control</t>
  </si>
  <si>
    <t>Central Satellite Body</t>
  </si>
  <si>
    <t>BPSK</t>
  </si>
  <si>
    <t>QPSK</t>
  </si>
  <si>
    <t>8PSK</t>
  </si>
  <si>
    <t>16QAM</t>
  </si>
  <si>
    <t>Modulation</t>
  </si>
  <si>
    <t>Spectrum Utilization (bit/s)/Hz</t>
  </si>
  <si>
    <t>Probability of bit error</t>
  </si>
  <si>
    <t>Ground Systems</t>
  </si>
  <si>
    <t>Station STK</t>
  </si>
  <si>
    <t>Latitude (deg)</t>
  </si>
  <si>
    <t>Longitude (deg)</t>
  </si>
  <si>
    <t>Transmit Band</t>
  </si>
  <si>
    <t>Receive Band</t>
  </si>
  <si>
    <t>Diameter (m)</t>
  </si>
  <si>
    <t>Efficiency</t>
  </si>
  <si>
    <t>Gain Command (dB)</t>
  </si>
  <si>
    <t>Gain Telemetry (dB)</t>
  </si>
  <si>
    <t>Transmit Power (dBW)</t>
  </si>
  <si>
    <t>Noise temperature (K)</t>
  </si>
  <si>
    <t>Waveguide Loss (dB)</t>
  </si>
  <si>
    <t>New Norcia-35m</t>
  </si>
  <si>
    <t>New Norcia</t>
  </si>
  <si>
    <t>S</t>
  </si>
  <si>
    <t>X</t>
  </si>
  <si>
    <t>Ka</t>
  </si>
  <si>
    <t>Malargue-35 m</t>
  </si>
  <si>
    <t>Malargue</t>
  </si>
  <si>
    <t>Cebreros-35 m</t>
  </si>
  <si>
    <t>Cebreros</t>
  </si>
  <si>
    <t>Villafranca-12 m</t>
  </si>
  <si>
    <t>Villafranca</t>
  </si>
  <si>
    <t>Kiruna-13 m</t>
  </si>
  <si>
    <t>Kiruna</t>
  </si>
  <si>
    <t>Kiruna-15 m</t>
  </si>
  <si>
    <t>Maspalomas-15 m</t>
  </si>
  <si>
    <t>Maspalomas</t>
  </si>
  <si>
    <t>Perth-15 m</t>
  </si>
  <si>
    <t>Perth</t>
  </si>
  <si>
    <t>Redu-15 m</t>
  </si>
  <si>
    <t>Redu</t>
  </si>
  <si>
    <t>Redu-13.5 m</t>
  </si>
  <si>
    <t>Redu-2.4 m</t>
  </si>
  <si>
    <t>Kourou-15 m</t>
  </si>
  <si>
    <t>Kourou</t>
  </si>
  <si>
    <t>Kourou-13 m</t>
  </si>
  <si>
    <t>Santa Maria-5.5 m</t>
  </si>
  <si>
    <t>Santa Maria</t>
  </si>
  <si>
    <t>Name</t>
  </si>
  <si>
    <t>Date</t>
  </si>
  <si>
    <t>File version</t>
  </si>
  <si>
    <t>Sheet Name</t>
  </si>
  <si>
    <t>Change</t>
  </si>
  <si>
    <t>Reason for Change</t>
  </si>
  <si>
    <t>Loris Franchi</t>
  </si>
  <si>
    <t>Spacecraft #2 Receiver</t>
  </si>
  <si>
    <t>Spacecraft #1 Transmitter</t>
  </si>
  <si>
    <t>Slant Range (Max distance between satellites)</t>
  </si>
  <si>
    <t>[d_rel]</t>
  </si>
  <si>
    <t>Spacecraft transmitter tradespace</t>
  </si>
  <si>
    <t>Received power</t>
  </si>
  <si>
    <t>Power flux density</t>
  </si>
  <si>
    <t>Integrated database of ESA ground systems</t>
  </si>
  <si>
    <t>Added interlink calculation sheet (TBR)</t>
  </si>
  <si>
    <t>Link Type (notes)</t>
  </si>
  <si>
    <t>Units</t>
  </si>
  <si>
    <t xml:space="preserve">  Flight Termination</t>
  </si>
  <si>
    <t xml:space="preserve">  Command &amp; Control</t>
  </si>
  <si>
    <t xml:space="preserve">  Data Dump</t>
  </si>
  <si>
    <t xml:space="preserve">  Other</t>
  </si>
  <si>
    <t>Added link type for minimum required margin</t>
  </si>
  <si>
    <t>Added evaluation  of elevation and nadir angles ( if only altitude and either elevation of nadir is available )</t>
  </si>
  <si>
    <t>Added evaluation of required eb/no with respect to modulation and bit error probability</t>
  </si>
  <si>
    <t>Integrated tradespace exploration: antenna design and power vs Link Margin</t>
  </si>
  <si>
    <t xml:space="preserve">Planetary exploration, slat range with altitude for worst case scenario: Distance from planet to Earth station </t>
  </si>
  <si>
    <r>
      <rPr>
        <b/>
        <sz val="11"/>
        <color theme="1"/>
        <rFont val="Calibri"/>
        <family val="2"/>
        <scheme val="minor"/>
      </rPr>
      <t xml:space="preserve">Mission Phases and System Modes
</t>
    </r>
    <r>
      <rPr>
        <sz val="10"/>
        <rFont val="Times New Roman"/>
        <family val="1"/>
      </rPr>
      <t>Add description here</t>
    </r>
  </si>
  <si>
    <t>Mission Phases</t>
  </si>
  <si>
    <t>Phase</t>
  </si>
  <si>
    <t>Description</t>
  </si>
  <si>
    <t>Mode</t>
  </si>
  <si>
    <t>Launch</t>
  </si>
  <si>
    <t>LEOP</t>
  </si>
  <si>
    <t>TransferToOrbit</t>
  </si>
  <si>
    <t>Science</t>
  </si>
  <si>
    <t>Disposal</t>
  </si>
  <si>
    <t>Communication Modes</t>
  </si>
  <si>
    <t xml:space="preserve">Nominal </t>
  </si>
  <si>
    <t>Idle</t>
  </si>
  <si>
    <t>Safe</t>
  </si>
  <si>
    <t>High Data Rate</t>
  </si>
  <si>
    <t>Uplink Data Rate</t>
  </si>
  <si>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</si>
  <si>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</si>
  <si>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</si>
  <si>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</si>
  <si>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</si>
  <si>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</si>
  <si>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</si>
  <si>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</si>
  <si>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</si>
  <si>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</si>
  <si>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</si>
  <si>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</si>
  <si>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</si>
  <si>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</si>
  <si>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</si>
  <si>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</si>
  <si>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</si>
  <si>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</si>
  <si>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</si>
  <si>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</si>
  <si>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</si>
  <si>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</si>
  <si>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E</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</si>
  <si>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</si>
  <si>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</si>
  <si>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</si>
  <si>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</si>
  <si>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</si>
  <si>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</si>
  <si>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</si>
  <si>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</si>
  <si>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</si>
  <si>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</si>
  <si>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</si>
  <si>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</si>
  <si>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</si>
  <si>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</si>
  <si>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</si>
  <si>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</si>
  <si>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</si>
  <si>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</si>
  <si>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</si>
  <si>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</si>
  <si>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</si>
  <si>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</si>
  <si>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</si>
  <si>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</si>
  <si>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</si>
  <si>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</si>
  <si>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</si>
  <si>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</si>
  <si>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</si>
  <si>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</si>
  <si>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</si>
  <si>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</si>
  <si>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</si>
  <si>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</si>
  <si>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</si>
  <si>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</si>
  <si>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</si>
  <si>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</si>
  <si>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</si>
  <si>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 xml:space="preserve">Added modulation type for estimation of probability of error </t>
  </si>
  <si>
    <t>Apogee Altitude (elliptical orbit)</t>
  </si>
  <si>
    <t>Link Type/Required Margin</t>
  </si>
  <si>
    <t>Added goal seek macros for link budget</t>
  </si>
  <si>
    <t>Version 1.4</t>
  </si>
  <si>
    <t xml:space="preserve">2. Rank the parameters in order of priority and indicate if a parameter is more important (&gt;) or equally important (=) than the next one. </t>
  </si>
  <si>
    <t>Politecnico di Torino</t>
  </si>
  <si>
    <t>4. Fill in the trade-off table by assigning a score to each option for each key trade-off parameter. Use the same scale, e.g. 1 to 5</t>
  </si>
  <si>
    <t>Cost</t>
  </si>
  <si>
    <t>Equilibrium temperature</t>
  </si>
  <si>
    <t>Key trade-off parameters &amp; weight factor definition. This table is automatically produced and requires no inputs</t>
  </si>
  <si>
    <t>Key trade-off Parameter</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</si>
  <si>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</si>
  <si>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</si>
  <si>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</si>
  <si>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</si>
  <si>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</si>
  <si>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</si>
  <si>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</si>
  <si>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For constants please refere to Space mission analysis and design third edition</t>
  </si>
  <si>
    <t>Dipole antenna</t>
  </si>
  <si>
    <t xml:space="preserve">Helix Antenna </t>
  </si>
  <si>
    <t>Dipole λ/2</t>
  </si>
  <si>
    <t>Antenna Length</t>
  </si>
  <si>
    <t>MHz</t>
  </si>
  <si>
    <t>Global Efficiency</t>
  </si>
  <si>
    <t>Wavelength λ</t>
  </si>
  <si>
    <t>Operating Frequency</t>
  </si>
  <si>
    <t>Total antenna length</t>
  </si>
  <si>
    <t>Operating wavelength</t>
  </si>
  <si>
    <t>Antenna gain</t>
  </si>
  <si>
    <t>Antenna Diameter</t>
  </si>
  <si>
    <t>Effective aperture</t>
  </si>
  <si>
    <t>Peak Antenna Gain</t>
  </si>
  <si>
    <t>Deg</t>
  </si>
  <si>
    <t>Antenna Beam width</t>
  </si>
  <si>
    <t>Impedence</t>
  </si>
  <si>
    <t>ohm</t>
  </si>
  <si>
    <t>Monople antenna</t>
  </si>
  <si>
    <t xml:space="preserve"> Horn Antenna </t>
  </si>
  <si>
    <t>Monopole</t>
  </si>
  <si>
    <t>Gain:</t>
  </si>
  <si>
    <t>dBiL</t>
  </si>
  <si>
    <t>Beamwidth:</t>
  </si>
  <si>
    <t>Monopole λ/4</t>
  </si>
  <si>
    <t>Dipole</t>
  </si>
  <si>
    <t>Canted Turnstyle</t>
  </si>
  <si>
    <t>dBiC</t>
  </si>
  <si>
    <t>(typical)</t>
  </si>
  <si>
    <t>Quadrifilar Helix</t>
  </si>
  <si>
    <r>
      <t>Loop (</t>
    </r>
    <r>
      <rPr>
        <sz val="10"/>
        <color rgb="FF538DD5"/>
        <rFont val="Symbol"/>
        <family val="1"/>
        <charset val="2"/>
      </rPr>
      <t>l</t>
    </r>
    <r>
      <rPr>
        <sz val="10"/>
        <color rgb="FF538DD5"/>
        <rFont val="Arial"/>
        <family val="2"/>
      </rPr>
      <t>):</t>
    </r>
  </si>
  <si>
    <t xml:space="preserve">    1/2</t>
  </si>
  <si>
    <t>Other (User Defined)</t>
  </si>
  <si>
    <t>Two-Arm Spiral</t>
  </si>
  <si>
    <t>dBi (L or C)</t>
  </si>
  <si>
    <t>Parabolic Reflector</t>
  </si>
  <si>
    <t>Half Power Beam width</t>
  </si>
  <si>
    <t>[Isotropic Radiator]</t>
  </si>
  <si>
    <t>dBi</t>
  </si>
  <si>
    <t>Canted Trunstyle antenna</t>
  </si>
  <si>
    <r>
      <t>Patch antenna</t>
    </r>
    <r>
      <rPr>
        <sz val="10"/>
        <rFont val="Arial"/>
        <family val="2"/>
      </rPr>
      <t xml:space="preserve">
</t>
    </r>
  </si>
  <si>
    <r>
      <t xml:space="preserve">Dielectric relative constant </t>
    </r>
    <r>
      <rPr>
        <sz val="14"/>
        <rFont val="Calibri"/>
        <family val="2"/>
      </rPr>
      <t>ε</t>
    </r>
    <r>
      <rPr>
        <sz val="10"/>
        <rFont val="Calibri"/>
        <family val="2"/>
      </rPr>
      <t>o</t>
    </r>
  </si>
  <si>
    <t>h</t>
  </si>
  <si>
    <t>Input frequency</t>
  </si>
  <si>
    <t xml:space="preserve">W </t>
  </si>
  <si>
    <r>
      <rPr>
        <sz val="14"/>
        <rFont val="Calibri"/>
        <family val="2"/>
      </rPr>
      <t>ε</t>
    </r>
    <r>
      <rPr>
        <sz val="10"/>
        <rFont val="Calibri"/>
        <family val="2"/>
      </rPr>
      <t>eff</t>
    </r>
  </si>
  <si>
    <t>dL</t>
  </si>
  <si>
    <t>L</t>
  </si>
  <si>
    <t>Yin</t>
  </si>
  <si>
    <t>Input impedance</t>
  </si>
  <si>
    <t>ohms</t>
  </si>
  <si>
    <t>Patch antenna Gain and beamwidth</t>
  </si>
  <si>
    <t>lx</t>
  </si>
  <si>
    <t>ly</t>
  </si>
  <si>
    <t>Gain</t>
  </si>
  <si>
    <t>Beamwidth</t>
  </si>
  <si>
    <t>AMSAT-IARU_Link_Model_Rev2.5.5.xls</t>
  </si>
  <si>
    <t>AMSAT-IARU_Basic Analog Transponder Link_Budget_Rev1.6.xlsx</t>
  </si>
  <si>
    <t>Link Model</t>
  </si>
  <si>
    <t>Basic Analog Transponder Link Budget</t>
  </si>
  <si>
    <t>Source: AMSAT-UK - Tools for Spacecraft and Communication Design</t>
  </si>
  <si>
    <t>AMSAT (Amateur Radio in Space) provide calculation spreadsheets on their website focussing on the design of the communication subsystem of spacecraft. Depending on your mission design, the following two speadsheets can be useful for calculating communication link budgets. You are free to use these spreadsheets (in addition to this one) for the mission design in the ESA Academy course.</t>
  </si>
  <si>
    <t>Further material for communication subsystem design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</si>
</sst>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000E+00"/>
    <numFmt numFmtId="165" formatCode="0.0"/>
    <numFmt numFmtId="166" formatCode="0.000"/>
    <numFmt numFmtId="167" formatCode="0.0%"/>
    <numFmt numFmtId="168" formatCode="0.000E+00"/>
    <numFmt numFmtId="169" formatCode="0.0000"/>
    <numFmt numFmtId="170" formatCode="m/d/yyyy;@"/>
    <numFmt numFmtId="171" formatCode="#,##0.000"/>
    <numFmt numFmtId="172" formatCode="0.0E+00"/>
  </numFmts>
  <fonts count="83">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amily val="1"/>
    </font>
    <font>
      <b/>
      <sz val="11"/>
      <color indexed="63"/>
      <name val="Calibri"/>
      <family val="2"/>
    </font>
    <font>
      <b/>
      <sz val="18"/>
      <color indexed="56"/>
      <name val="Cambria"/>
      <family val="2"/>
    </font>
    <font>
      <b/>
      <sz val="11"/>
      <color indexed="8"/>
      <name val="Calibri"/>
      <family val="2"/>
    </font>
    <font>
      <sz val="11"/>
      <color indexed="10"/>
      <name val="Calibri"/>
      <family val="2"/>
    </font>
    <font>
      <b/>
      <sz val="18"/>
      <color indexed="56"/>
      <name val="Cambria"/>
      <family val="1"/>
    </font>
    <font>
      <b/>
      <sz val="12"/>
      <name val="Times New Roman"/>
      <family val="1"/>
    </font>
    <font>
      <b/>
      <sz val="10"/>
      <name val="Times New Roman"/>
      <family val="1"/>
    </font>
    <font>
      <i/>
      <sz val="10"/>
      <name val="Times New Roman"/>
      <family val="1"/>
    </font>
    <font>
      <b/>
      <sz val="14"/>
      <name val="Times New Roman"/>
      <family val="1"/>
    </font>
    <font>
      <b/>
      <i/>
      <sz val="11"/>
      <name val="Times New Roman"/>
      <family val="1"/>
    </font>
    <font>
      <sz val="8"/>
      <color indexed="81"/>
      <name val="Times New Roman"/>
      <family val="1"/>
    </font>
    <font>
      <sz val="8"/>
      <color indexed="81"/>
      <name val="Tahoma"/>
      <family val="2"/>
    </font>
    <font>
      <sz val="12"/>
      <name val="Times New Roman"/>
      <family val="1"/>
    </font>
    <font>
      <sz val="10"/>
      <color theme="8" tint="0.79998168889431442"/>
      <name val="Times New Roman"/>
      <family val="1"/>
    </font>
    <font>
      <sz val="10"/>
      <color theme="3" tint="0.39997558519241921"/>
      <name val="Times New Roman"/>
      <family val="1"/>
    </font>
    <font>
      <sz val="9"/>
      <color indexed="81"/>
      <name val="Tahoma"/>
      <family val="2"/>
    </font>
    <font>
      <b/>
      <sz val="9"/>
      <color indexed="81"/>
      <name val="Tahoma"/>
      <family val="2"/>
    </font>
    <font>
      <b/>
      <sz val="11"/>
      <name val="Times New Roman"/>
      <family val="1"/>
    </font>
    <font>
      <b/>
      <sz val="10"/>
      <name val="Segoe UI"/>
      <family val="2"/>
    </font>
    <font>
      <sz val="10"/>
      <name val="Segoe UI"/>
      <family val="2"/>
    </font>
    <font>
      <i/>
      <sz val="10"/>
      <name val="Segoe UI"/>
      <family val="2"/>
    </font>
    <font>
      <i/>
      <sz val="9"/>
      <name val="Segoe UI"/>
      <family val="2"/>
    </font>
    <font>
      <sz val="10"/>
      <name val="Arial"/>
      <family val="2"/>
    </font>
    <font>
      <sz val="10"/>
      <name val="Geneva"/>
    </font>
    <font>
      <b/>
      <sz val="10"/>
      <name val="Geneva"/>
    </font>
    <font>
      <b/>
      <sz val="9"/>
      <name val="Geneva"/>
    </font>
    <font>
      <b/>
      <i/>
      <sz val="10"/>
      <name val="Geneva"/>
    </font>
    <font>
      <b/>
      <sz val="9"/>
      <name val="Georgia"/>
      <family val="1"/>
    </font>
    <font>
      <b/>
      <vertAlign val="subscript"/>
      <sz val="9"/>
      <name val="Geneva"/>
    </font>
    <font>
      <vertAlign val="superscript"/>
      <sz val="10"/>
      <name val="Geneva"/>
    </font>
    <font>
      <sz val="8"/>
      <name val="Segoe UI"/>
      <family val="2"/>
    </font>
    <font>
      <b/>
      <sz val="8"/>
      <name val="Segoe UI"/>
      <family val="2"/>
    </font>
    <font>
      <b/>
      <i/>
      <sz val="8"/>
      <name val="Segoe UI"/>
      <family val="2"/>
    </font>
    <font>
      <sz val="8"/>
      <color theme="3" tint="0.39997558519241921"/>
      <name val="Arial"/>
      <family val="2"/>
    </font>
    <font>
      <sz val="10"/>
      <color rgb="FF538DD5"/>
      <name val="Times New Roman"/>
      <family val="1"/>
    </font>
    <font>
      <sz val="8"/>
      <color rgb="FF538DD5"/>
      <name val="Arial"/>
      <family val="2"/>
    </font>
    <font>
      <sz val="14"/>
      <name val="Arial"/>
      <family val="2"/>
    </font>
    <font>
      <sz val="11"/>
      <color theme="0"/>
      <name val="Times New Roman"/>
      <family val="1"/>
    </font>
    <font>
      <sz val="11"/>
      <color rgb="FF000000"/>
      <name val="Times New Roman"/>
      <family val="1"/>
    </font>
    <font>
      <b/>
      <sz val="11"/>
      <color theme="1"/>
      <name val="Times New Roman"/>
      <family val="1"/>
    </font>
    <font>
      <b/>
      <sz val="11"/>
      <color rgb="FF000000"/>
      <name val="Times New Roman"/>
      <family val="1"/>
    </font>
    <font>
      <sz val="16"/>
      <name val="Times New Roman"/>
      <family val="1"/>
    </font>
    <font>
      <b/>
      <sz val="12"/>
      <color rgb="FFDCE6F1"/>
      <name val="Times New Roman"/>
      <family val="1"/>
    </font>
    <font>
      <sz val="10"/>
      <color rgb="FF000000"/>
      <name val="Times New Roman"/>
      <family val="1"/>
    </font>
    <font>
      <b/>
      <sz val="11"/>
      <color theme="1"/>
      <name val="Calibri"/>
      <family val="2"/>
      <scheme val="minor"/>
    </font>
    <font>
      <sz val="10"/>
      <color theme="1"/>
      <name val="Georgia"/>
      <family val="1"/>
    </font>
    <font>
      <sz val="12"/>
      <color theme="1"/>
      <name val="Georgia"/>
      <family val="1"/>
    </font>
    <font>
      <b/>
      <sz val="12"/>
      <color theme="1"/>
      <name val="Georgia"/>
      <family val="1"/>
    </font>
    <font>
      <sz val="11"/>
      <color indexed="8"/>
      <name val="Georgia"/>
      <family val="2"/>
    </font>
    <font>
      <sz val="11"/>
      <color indexed="9"/>
      <name val="Georgia"/>
      <family val="2"/>
    </font>
    <font>
      <sz val="11"/>
      <color rgb="FF000000"/>
      <name val="Georgia"/>
      <family val="2"/>
    </font>
    <font>
      <b/>
      <sz val="18"/>
      <color theme="1"/>
      <name val="Calibri"/>
      <family val="2"/>
      <scheme val="minor"/>
    </font>
    <font>
      <i/>
      <sz val="11"/>
      <color theme="1"/>
      <name val="Calibri"/>
      <family val="2"/>
      <scheme val="minor"/>
    </font>
    <font>
      <b/>
      <i/>
      <sz val="11"/>
      <color theme="4" tint="-0.499984740745262"/>
      <name val="Calibri"/>
      <family val="2"/>
      <scheme val="minor"/>
    </font>
    <font>
      <b/>
      <sz val="22"/>
      <name val="Segoe UI"/>
      <family val="2"/>
    </font>
    <font>
      <u/>
      <sz val="10"/>
      <color indexed="12"/>
      <name val="Arial"/>
      <family val="2"/>
    </font>
    <font>
      <sz val="10"/>
      <color rgb="FF538DD5"/>
      <name val="Symbol"/>
      <family val="1"/>
      <charset val="2"/>
    </font>
    <font>
      <sz val="10"/>
      <color rgb="FF538DD5"/>
      <name val="Arial"/>
      <family val="2"/>
    </font>
    <font>
      <b/>
      <sz val="10"/>
      <name val="Arial"/>
      <family val="2"/>
    </font>
    <font>
      <sz val="14"/>
      <name val="Calibri"/>
      <family val="2"/>
    </font>
    <font>
      <sz val="10"/>
      <name val="Calibri"/>
      <family val="2"/>
    </font>
    <font>
      <sz val="10"/>
      <color indexed="81"/>
      <name val="Tahoma"/>
      <family val="2"/>
    </font>
    <font>
      <u/>
      <sz val="10"/>
      <color indexed="12"/>
      <name val="Times New Roman"/>
      <family val="1"/>
    </font>
    <font>
      <u/>
      <sz val="8"/>
      <color indexed="12"/>
      <name val="Times New Roman"/>
      <family val="1"/>
    </font>
  </fonts>
  <fills count="6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theme="0"/>
        <bgColor indexed="64"/>
      </patternFill>
    </fill>
    <fill>
      <patternFill patternType="solid">
        <fgColor theme="3" tint="0.39997558519241921"/>
        <bgColor indexed="64"/>
      </patternFill>
    </fill>
    <fill>
      <patternFill patternType="solid">
        <fgColor theme="9" tint="0.79998168889431442"/>
        <bgColor indexed="64"/>
      </patternFill>
    </fill>
    <fill>
      <gradientFill degree="270">
        <stop position="0">
          <color theme="4" tint="0.80001220740379042"/>
        </stop>
        <stop position="1">
          <color theme="4"/>
        </stop>
      </gradientFill>
    </fill>
    <fill>
      <patternFill patternType="solid">
        <fgColor theme="5"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4" tint="0.79998168889431442"/>
        <bgColor indexed="64"/>
      </patternFill>
    </fill>
    <fill>
      <gradientFill degree="270">
        <stop position="0">
          <color theme="0" tint="-5.0965910824915313E-2"/>
        </stop>
        <stop position="1">
          <color theme="0" tint="-0.49803155613879818"/>
        </stop>
      </gradientFill>
    </fill>
    <fill>
      <patternFill patternType="solid">
        <fgColor theme="0" tint="-4.9989318521683403E-2"/>
        <bgColor indexed="64"/>
      </patternFill>
    </fill>
    <fill>
      <gradientFill degree="270">
        <stop position="0">
          <color theme="6" tint="0.80001220740379042"/>
        </stop>
        <stop position="1">
          <color theme="6" tint="-0.25098422193060094"/>
        </stop>
      </gradientFill>
    </fill>
    <fill>
      <gradientFill degree="270">
        <stop position="0">
          <color theme="7" tint="0.80001220740379042"/>
        </stop>
        <stop position="1">
          <color theme="7" tint="-0.25098422193060094"/>
        </stop>
      </gradientFill>
    </fill>
    <fill>
      <gradientFill degree="270">
        <stop position="0">
          <color theme="5" tint="0.80001220740379042"/>
        </stop>
        <stop position="1">
          <color theme="5" tint="-0.25098422193060094"/>
        </stop>
      </gradientFill>
    </fill>
    <fill>
      <gradientFill degree="270">
        <stop position="0">
          <color theme="8" tint="0.80001220740379042"/>
        </stop>
        <stop position="1">
          <color theme="8" tint="-0.25098422193060094"/>
        </stop>
      </gradientFill>
    </fill>
    <fill>
      <patternFill patternType="solid">
        <fgColor theme="8" tint="0.79998168889431442"/>
        <bgColor indexed="64"/>
      </patternFill>
    </fill>
    <fill>
      <patternFill patternType="solid">
        <fgColor theme="5" tint="0.39997558519241921"/>
        <bgColor auto="1"/>
      </patternFill>
    </fill>
    <fill>
      <patternFill patternType="solid">
        <fgColor theme="6" tint="0.39997558519241921"/>
        <bgColor indexed="64"/>
      </patternFill>
    </fill>
    <fill>
      <patternFill patternType="solid">
        <fgColor theme="0" tint="-0.249977111117893"/>
        <bgColor auto="1"/>
      </patternFill>
    </fill>
    <fill>
      <patternFill patternType="solid">
        <fgColor theme="4" tint="0.39997558519241921"/>
        <bgColor auto="1"/>
      </patternFill>
    </fill>
    <fill>
      <patternFill patternType="solid">
        <fgColor theme="8" tint="0.39997558519241921"/>
        <bgColor auto="1"/>
      </patternFill>
    </fill>
    <fill>
      <patternFill patternType="solid">
        <fgColor theme="7" tint="0.39997558519241921"/>
        <bgColor auto="1"/>
      </patternFill>
    </fill>
    <fill>
      <patternFill patternType="solid">
        <fgColor theme="9" tint="0.39997558519241921"/>
        <bgColor auto="1"/>
      </patternFill>
    </fill>
    <fill>
      <patternFill patternType="solid">
        <fgColor rgb="FFFFFFCC"/>
        <bgColor indexed="64"/>
      </patternFill>
    </fill>
    <fill>
      <patternFill patternType="solid">
        <fgColor rgb="FFFFFF66"/>
        <bgColor indexed="64"/>
      </patternFill>
    </fill>
    <fill>
      <patternFill patternType="solid">
        <fgColor rgb="FF00B0F0"/>
        <bgColor indexed="64"/>
      </patternFill>
    </fill>
    <fill>
      <patternFill patternType="solid">
        <fgColor rgb="FF95B3D7"/>
        <bgColor indexed="64"/>
      </patternFill>
    </fill>
    <fill>
      <patternFill patternType="solid">
        <fgColor rgb="FFDCE6F1"/>
        <bgColor indexed="64"/>
      </patternFill>
    </fill>
    <fill>
      <patternFill patternType="solid">
        <fgColor rgb="FF538DD5"/>
        <bgColor indexed="64"/>
      </patternFill>
    </fill>
    <fill>
      <patternFill patternType="solid">
        <fgColor theme="3" tint="0.39997558519241921"/>
        <bgColor indexed="26"/>
      </patternFill>
    </fill>
    <fill>
      <patternFill patternType="solid">
        <fgColor rgb="FF0070C0"/>
        <bgColor indexed="64"/>
      </patternFill>
    </fill>
    <fill>
      <patternFill patternType="solid">
        <fgColor theme="0"/>
        <bgColor rgb="FFDDEBF7"/>
      </patternFill>
    </fill>
    <fill>
      <patternFill patternType="solid">
        <fgColor theme="3" tint="0.59999389629810485"/>
        <bgColor indexed="64"/>
      </patternFill>
    </fill>
    <fill>
      <patternFill patternType="solid">
        <fgColor theme="3" tint="0.79998168889431442"/>
        <bgColor indexed="64"/>
      </patternFill>
    </fill>
    <fill>
      <patternFill patternType="solid">
        <fgColor indexed="6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s>
  <borders count="13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ck">
        <color theme="0" tint="-0.499984740745262"/>
      </left>
      <right/>
      <top style="thick">
        <color theme="0" tint="-0.499984740745262"/>
      </top>
      <bottom/>
      <diagonal/>
    </border>
    <border>
      <left/>
      <right/>
      <top style="thick">
        <color theme="0" tint="-0.499984740745262"/>
      </top>
      <bottom/>
      <diagonal/>
    </border>
    <border>
      <left/>
      <right style="thick">
        <color theme="0" tint="-0.499984740745262"/>
      </right>
      <top style="thick">
        <color theme="0" tint="-0.499984740745262"/>
      </top>
      <bottom/>
      <diagonal/>
    </border>
    <border>
      <left style="thick">
        <color theme="0" tint="-0.499984740745262"/>
      </left>
      <right/>
      <top/>
      <bottom/>
      <diagonal/>
    </border>
    <border>
      <left/>
      <right style="thick">
        <color theme="0" tint="-0.499984740745262"/>
      </right>
      <top/>
      <bottom/>
      <diagonal/>
    </border>
    <border>
      <left style="thick">
        <color theme="0" tint="-0.499984740745262"/>
      </left>
      <right/>
      <top/>
      <bottom style="thick">
        <color theme="0" tint="-0.499984740745262"/>
      </bottom>
      <diagonal/>
    </border>
    <border>
      <left/>
      <right/>
      <top/>
      <bottom style="thick">
        <color theme="0" tint="-0.499984740745262"/>
      </bottom>
      <diagonal/>
    </border>
    <border>
      <left/>
      <right style="thick">
        <color theme="0" tint="-0.499984740745262"/>
      </right>
      <top/>
      <bottom style="thick">
        <color theme="0" tint="-0.499984740745262"/>
      </bottom>
      <diagonal/>
    </border>
    <border>
      <left style="thick">
        <color theme="7" tint="-0.499984740745262"/>
      </left>
      <right/>
      <top style="thick">
        <color theme="7" tint="-0.499984740745262"/>
      </top>
      <bottom/>
      <diagonal/>
    </border>
    <border>
      <left/>
      <right/>
      <top style="thick">
        <color theme="7" tint="-0.499984740745262"/>
      </top>
      <bottom/>
      <diagonal/>
    </border>
    <border>
      <left/>
      <right style="thick">
        <color theme="7" tint="-0.499984740745262"/>
      </right>
      <top style="thick">
        <color theme="7" tint="-0.499984740745262"/>
      </top>
      <bottom/>
      <diagonal/>
    </border>
    <border>
      <left style="thick">
        <color theme="7" tint="-0.499984740745262"/>
      </left>
      <right/>
      <top/>
      <bottom/>
      <diagonal/>
    </border>
    <border>
      <left/>
      <right style="thick">
        <color theme="7" tint="-0.499984740745262"/>
      </right>
      <top/>
      <bottom/>
      <diagonal/>
    </border>
    <border>
      <left style="thick">
        <color theme="7" tint="-0.499984740745262"/>
      </left>
      <right/>
      <top/>
      <bottom style="thick">
        <color theme="7" tint="-0.499984740745262"/>
      </bottom>
      <diagonal/>
    </border>
    <border>
      <left/>
      <right/>
      <top/>
      <bottom style="thick">
        <color theme="7" tint="-0.499984740745262"/>
      </bottom>
      <diagonal/>
    </border>
    <border>
      <left/>
      <right style="thick">
        <color theme="7" tint="-0.499984740745262"/>
      </right>
      <top/>
      <bottom style="thick">
        <color theme="7" tint="-0.499984740745262"/>
      </bottom>
      <diagonal/>
    </border>
    <border>
      <left style="thick">
        <color theme="8" tint="-0.499984740745262"/>
      </left>
      <right/>
      <top style="thick">
        <color theme="8" tint="-0.499984740745262"/>
      </top>
      <bottom/>
      <diagonal/>
    </border>
    <border>
      <left/>
      <right/>
      <top style="thick">
        <color theme="8" tint="-0.499984740745262"/>
      </top>
      <bottom/>
      <diagonal/>
    </border>
    <border>
      <left/>
      <right style="thick">
        <color theme="8" tint="-0.499984740745262"/>
      </right>
      <top style="thick">
        <color theme="8" tint="-0.499984740745262"/>
      </top>
      <bottom/>
      <diagonal/>
    </border>
    <border>
      <left style="thick">
        <color theme="8" tint="-0.499984740745262"/>
      </left>
      <right/>
      <top/>
      <bottom/>
      <diagonal/>
    </border>
    <border>
      <left/>
      <right style="thick">
        <color theme="8" tint="-0.499984740745262"/>
      </right>
      <top/>
      <bottom/>
      <diagonal/>
    </border>
    <border>
      <left style="thick">
        <color theme="8" tint="-0.499984740745262"/>
      </left>
      <right/>
      <top/>
      <bottom style="thick">
        <color theme="8" tint="-0.499984740745262"/>
      </bottom>
      <diagonal/>
    </border>
    <border>
      <left/>
      <right/>
      <top/>
      <bottom style="thick">
        <color theme="8" tint="-0.499984740745262"/>
      </bottom>
      <diagonal/>
    </border>
    <border>
      <left/>
      <right style="thick">
        <color theme="8" tint="-0.499984740745262"/>
      </right>
      <top/>
      <bottom style="thick">
        <color theme="8" tint="-0.499984740745262"/>
      </bottom>
      <diagonal/>
    </border>
    <border>
      <left style="thick">
        <color theme="4" tint="-0.499984740745262"/>
      </left>
      <right/>
      <top style="thick">
        <color theme="4" tint="-0.499984740745262"/>
      </top>
      <bottom/>
      <diagonal/>
    </border>
    <border>
      <left/>
      <right/>
      <top style="thick">
        <color theme="4" tint="-0.499984740745262"/>
      </top>
      <bottom/>
      <diagonal/>
    </border>
    <border>
      <left/>
      <right style="thick">
        <color theme="4" tint="-0.499984740745262"/>
      </right>
      <top style="thick">
        <color theme="4" tint="-0.499984740745262"/>
      </top>
      <bottom/>
      <diagonal/>
    </border>
    <border>
      <left style="thick">
        <color theme="4" tint="-0.499984740745262"/>
      </left>
      <right/>
      <top/>
      <bottom/>
      <diagonal/>
    </border>
    <border>
      <left/>
      <right style="thick">
        <color theme="4" tint="-0.499984740745262"/>
      </right>
      <top/>
      <bottom/>
      <diagonal/>
    </border>
    <border>
      <left style="thick">
        <color theme="4" tint="-0.499984740745262"/>
      </left>
      <right/>
      <top/>
      <bottom style="thick">
        <color theme="4" tint="-0.499984740745262"/>
      </bottom>
      <diagonal/>
    </border>
    <border>
      <left/>
      <right/>
      <top/>
      <bottom style="thick">
        <color theme="4" tint="-0.499984740745262"/>
      </bottom>
      <diagonal/>
    </border>
    <border>
      <left/>
      <right style="thick">
        <color theme="4" tint="-0.499984740745262"/>
      </right>
      <top/>
      <bottom style="thick">
        <color theme="4" tint="-0.499984740745262"/>
      </bottom>
      <diagonal/>
    </border>
    <border>
      <left style="thick">
        <color theme="6" tint="-0.499984740745262"/>
      </left>
      <right/>
      <top style="thick">
        <color theme="6" tint="-0.499984740745262"/>
      </top>
      <bottom/>
      <diagonal/>
    </border>
    <border>
      <left/>
      <right/>
      <top style="thick">
        <color theme="6" tint="-0.499984740745262"/>
      </top>
      <bottom/>
      <diagonal/>
    </border>
    <border>
      <left/>
      <right style="thick">
        <color theme="6" tint="-0.499984740745262"/>
      </right>
      <top style="thick">
        <color theme="6" tint="-0.499984740745262"/>
      </top>
      <bottom/>
      <diagonal/>
    </border>
    <border>
      <left style="thick">
        <color theme="6" tint="-0.499984740745262"/>
      </left>
      <right/>
      <top/>
      <bottom/>
      <diagonal/>
    </border>
    <border>
      <left/>
      <right style="thick">
        <color theme="6" tint="-0.499984740745262"/>
      </right>
      <top/>
      <bottom/>
      <diagonal/>
    </border>
    <border>
      <left style="thick">
        <color theme="6" tint="-0.499984740745262"/>
      </left>
      <right/>
      <top/>
      <bottom style="thick">
        <color theme="6" tint="-0.499984740745262"/>
      </bottom>
      <diagonal/>
    </border>
    <border>
      <left/>
      <right/>
      <top/>
      <bottom style="thick">
        <color theme="6" tint="-0.499984740745262"/>
      </bottom>
      <diagonal/>
    </border>
    <border>
      <left/>
      <right style="thick">
        <color theme="6" tint="-0.499984740745262"/>
      </right>
      <top/>
      <bottom style="thick">
        <color theme="6" tint="-0.499984740745262"/>
      </bottom>
      <diagonal/>
    </border>
    <border>
      <left style="thick">
        <color theme="5" tint="-0.499984740745262"/>
      </left>
      <right/>
      <top style="thick">
        <color theme="5" tint="-0.499984740745262"/>
      </top>
      <bottom/>
      <diagonal/>
    </border>
    <border>
      <left/>
      <right/>
      <top style="thick">
        <color theme="5" tint="-0.499984740745262"/>
      </top>
      <bottom/>
      <diagonal/>
    </border>
    <border>
      <left/>
      <right style="thick">
        <color theme="5" tint="-0.499984740745262"/>
      </right>
      <top style="thick">
        <color theme="5" tint="-0.499984740745262"/>
      </top>
      <bottom/>
      <diagonal/>
    </border>
    <border>
      <left style="thick">
        <color theme="5" tint="-0.499984740745262"/>
      </left>
      <right/>
      <top/>
      <bottom/>
      <diagonal/>
    </border>
    <border>
      <left/>
      <right style="thick">
        <color theme="5" tint="-0.499984740745262"/>
      </right>
      <top/>
      <bottom/>
      <diagonal/>
    </border>
    <border>
      <left style="thick">
        <color theme="5" tint="-0.499984740745262"/>
      </left>
      <right/>
      <top/>
      <bottom style="thick">
        <color theme="5" tint="-0.499984740745262"/>
      </bottom>
      <diagonal/>
    </border>
    <border>
      <left/>
      <right/>
      <top/>
      <bottom style="thick">
        <color theme="5" tint="-0.499984740745262"/>
      </bottom>
      <diagonal/>
    </border>
    <border>
      <left/>
      <right style="thick">
        <color theme="5" tint="-0.499984740745262"/>
      </right>
      <top/>
      <bottom style="thick">
        <color theme="5"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right/>
      <top/>
      <bottom style="thick">
        <color auto="1"/>
      </bottom>
      <diagonal/>
    </border>
    <border>
      <left/>
      <right style="thick">
        <color auto="1"/>
      </right>
      <top/>
      <bottom style="thick">
        <color auto="1"/>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theme="4" tint="-0.499984740745262"/>
      </left>
      <right/>
      <top style="thick">
        <color theme="4" tint="-0.499984740745262"/>
      </top>
      <bottom style="medium">
        <color indexed="64"/>
      </bottom>
      <diagonal/>
    </border>
    <border>
      <left/>
      <right/>
      <top style="thick">
        <color theme="4" tint="-0.499984740745262"/>
      </top>
      <bottom style="medium">
        <color indexed="64"/>
      </bottom>
      <diagonal/>
    </border>
    <border>
      <left/>
      <right style="thick">
        <color theme="4" tint="-0.499984740745262"/>
      </right>
      <top style="thick">
        <color theme="4" tint="-0.499984740745262"/>
      </top>
      <bottom style="medium">
        <color indexed="64"/>
      </bottom>
      <diagonal/>
    </border>
    <border>
      <left style="thick">
        <color theme="4" tint="-0.499984740745262"/>
      </left>
      <right/>
      <top style="thin">
        <color indexed="64"/>
      </top>
      <bottom style="thin">
        <color indexed="64"/>
      </bottom>
      <diagonal/>
    </border>
    <border>
      <left/>
      <right/>
      <top style="thin">
        <color indexed="64"/>
      </top>
      <bottom style="thin">
        <color indexed="64"/>
      </bottom>
      <diagonal/>
    </border>
    <border>
      <left/>
      <right style="thick">
        <color theme="4" tint="-0.499984740745262"/>
      </right>
      <top style="thin">
        <color indexed="64"/>
      </top>
      <bottom style="thin">
        <color indexed="64"/>
      </bottom>
      <diagonal/>
    </border>
    <border>
      <left style="thick">
        <color theme="4" tint="-0.499984740745262"/>
      </left>
      <right/>
      <top style="thin">
        <color indexed="64"/>
      </top>
      <bottom style="thick">
        <color theme="4" tint="-0.499984740745262"/>
      </bottom>
      <diagonal/>
    </border>
    <border>
      <left/>
      <right/>
      <top style="thin">
        <color indexed="64"/>
      </top>
      <bottom style="thick">
        <color theme="4" tint="-0.499984740745262"/>
      </bottom>
      <diagonal/>
    </border>
    <border>
      <left/>
      <right style="thick">
        <color theme="4" tint="-0.499984740745262"/>
      </right>
      <top style="thin">
        <color indexed="64"/>
      </top>
      <bottom style="thick">
        <color theme="4" tint="-0.499984740745262"/>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ck">
        <color theme="3" tint="-0.499984740745262"/>
      </left>
      <right/>
      <top/>
      <bottom/>
      <diagonal/>
    </border>
    <border>
      <left/>
      <right style="thick">
        <color theme="3" tint="-0.499984740745262"/>
      </right>
      <top/>
      <bottom/>
      <diagonal/>
    </border>
    <border>
      <left style="thick">
        <color theme="3" tint="-0.499984740745262"/>
      </left>
      <right/>
      <top/>
      <bottom style="thick">
        <color theme="3" tint="-0.499984740745262"/>
      </bottom>
      <diagonal/>
    </border>
    <border>
      <left/>
      <right/>
      <top/>
      <bottom style="thick">
        <color theme="3" tint="-0.499984740745262"/>
      </bottom>
      <diagonal/>
    </border>
    <border>
      <left/>
      <right style="thick">
        <color theme="3" tint="-0.499984740745262"/>
      </right>
      <top/>
      <bottom style="thick">
        <color theme="3" tint="-0.499984740745262"/>
      </bottom>
      <diagonal/>
    </border>
    <border>
      <left style="thick">
        <color theme="3" tint="-0.499984740745262"/>
      </left>
      <right/>
      <top style="thick">
        <color theme="3" tint="-0.499984740745262"/>
      </top>
      <bottom style="thick">
        <color theme="3" tint="-0.499984740745262"/>
      </bottom>
      <diagonal/>
    </border>
    <border>
      <left/>
      <right/>
      <top style="thick">
        <color theme="3" tint="-0.499984740745262"/>
      </top>
      <bottom style="thick">
        <color theme="3" tint="-0.499984740745262"/>
      </bottom>
      <diagonal/>
    </border>
    <border>
      <left/>
      <right style="thick">
        <color theme="3" tint="-0.499984740745262"/>
      </right>
      <top style="thick">
        <color theme="3" tint="-0.499984740745262"/>
      </top>
      <bottom style="thick">
        <color theme="3"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ck">
        <color theme="8" tint="-0.499984740745262"/>
      </bottom>
      <diagonal/>
    </border>
  </borders>
  <cellStyleXfs count="93">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1" applyNumberFormat="0" applyAlignment="0" applyProtection="0"/>
    <xf numFmtId="0" fontId="9" fillId="21" borderId="2"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15" fillId="7" borderId="1" applyNumberFormat="0" applyAlignment="0" applyProtection="0"/>
    <xf numFmtId="0" fontId="16" fillId="0" borderId="6" applyNumberFormat="0" applyFill="0" applyAlignment="0" applyProtection="0"/>
    <xf numFmtId="0" fontId="17" fillId="22" borderId="0" applyNumberFormat="0" applyBorder="0" applyAlignment="0" applyProtection="0"/>
    <xf numFmtId="0" fontId="18" fillId="23" borderId="7" applyNumberFormat="0" applyFont="0" applyAlignment="0" applyProtection="0"/>
    <xf numFmtId="0" fontId="19" fillId="20" borderId="8" applyNumberFormat="0" applyAlignment="0" applyProtection="0"/>
    <xf numFmtId="9" fontId="4" fillId="0" borderId="0" applyFont="0" applyFill="0" applyBorder="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xf numFmtId="0" fontId="11" fillId="4" borderId="0" applyNumberFormat="0" applyBorder="0" applyAlignment="0" applyProtection="0"/>
    <xf numFmtId="0" fontId="7" fillId="3"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23" fillId="0" borderId="0" applyNumberFormat="0" applyFill="0" applyBorder="0" applyAlignment="0" applyProtection="0"/>
    <xf numFmtId="0" fontId="12" fillId="0" borderId="3" applyNumberFormat="0" applyFill="0" applyAlignment="0" applyProtection="0"/>
    <xf numFmtId="0" fontId="13" fillId="0" borderId="4" applyNumberFormat="0" applyFill="0" applyAlignment="0" applyProtection="0"/>
    <xf numFmtId="0" fontId="14" fillId="0" borderId="5" applyNumberFormat="0" applyFill="0" applyAlignment="0" applyProtection="0"/>
    <xf numFmtId="0" fontId="14" fillId="0" borderId="0" applyNumberFormat="0" applyFill="0" applyBorder="0" applyAlignment="0" applyProtection="0"/>
    <xf numFmtId="0" fontId="9" fillId="21" borderId="2" applyNumberFormat="0" applyAlignment="0" applyProtection="0"/>
    <xf numFmtId="0" fontId="21" fillId="0" borderId="9" applyNumberFormat="0" applyFill="0" applyAlignment="0" applyProtection="0"/>
    <xf numFmtId="0" fontId="18" fillId="23" borderId="7" applyNumberFormat="0" applyFont="0" applyAlignment="0" applyProtection="0"/>
    <xf numFmtId="0" fontId="10" fillId="0" borderId="0" applyNumberFormat="0" applyFill="0" applyBorder="0" applyAlignment="0" applyProtection="0"/>
    <xf numFmtId="0" fontId="22" fillId="0" borderId="0" applyNumberFormat="0" applyFill="0" applyBorder="0" applyAlignment="0" applyProtection="0"/>
    <xf numFmtId="0" fontId="8" fillId="20" borderId="1" applyNumberFormat="0" applyAlignment="0" applyProtection="0"/>
    <xf numFmtId="0" fontId="15" fillId="7" borderId="1" applyNumberFormat="0" applyAlignment="0" applyProtection="0"/>
    <xf numFmtId="0" fontId="19" fillId="20" borderId="8" applyNumberFormat="0" applyAlignment="0" applyProtection="0"/>
    <xf numFmtId="0" fontId="17" fillId="22" borderId="0" applyNumberFormat="0" applyBorder="0" applyAlignment="0" applyProtection="0"/>
    <xf numFmtId="0" fontId="16" fillId="0" borderId="6" applyNumberFormat="0" applyFill="0" applyAlignment="0" applyProtection="0"/>
    <xf numFmtId="0" fontId="41" fillId="0" borderId="0"/>
    <xf numFmtId="0" fontId="3" fillId="0" borderId="0"/>
    <xf numFmtId="0" fontId="67" fillId="0" borderId="0" applyProtection="0"/>
    <xf numFmtId="0" fontId="67" fillId="0" borderId="0" applyProtection="0"/>
    <xf numFmtId="0" fontId="69" fillId="0" borderId="0" applyProtection="0"/>
    <xf numFmtId="0" fontId="18" fillId="0" borderId="0"/>
    <xf numFmtId="0" fontId="2" fillId="0" borderId="0"/>
    <xf numFmtId="0" fontId="1" fillId="0" borderId="0"/>
    <xf numFmtId="0" fontId="74" fillId="0" borderId="0" applyNumberFormat="0" applyFill="0" applyBorder="0" applyAlignment="0" applyProtection="0">
      <alignment vertical="top"/>
      <protection locked="0"/>
    </xf>
  </cellStyleXfs>
  <cellXfs count="619">
    <xf numFmtId="0" fontId="0" fillId="0" borderId="0" xfId="0"/>
    <xf numFmtId="0" fontId="0" fillId="25" borderId="0" xfId="0" applyFill="1"/>
    <xf numFmtId="0" fontId="18" fillId="27" borderId="0" xfId="0" applyFont="1" applyFill="1" applyBorder="1" applyProtection="1"/>
    <xf numFmtId="0" fontId="18" fillId="27" borderId="0" xfId="0" applyFont="1" applyFill="1" applyBorder="1" applyAlignment="1" applyProtection="1">
      <alignment horizontal="center"/>
    </xf>
    <xf numFmtId="0" fontId="25" fillId="27" borderId="0" xfId="0" applyFont="1" applyFill="1" applyBorder="1" applyAlignment="1" applyProtection="1">
      <alignment horizontal="center"/>
    </xf>
    <xf numFmtId="0" fontId="27" fillId="26" borderId="0" xfId="0" applyFont="1" applyFill="1" applyBorder="1" applyAlignment="1" applyProtection="1">
      <alignment horizontal="centerContinuous"/>
    </xf>
    <xf numFmtId="0" fontId="18" fillId="26" borderId="0" xfId="0" applyFont="1" applyFill="1" applyBorder="1" applyAlignment="1" applyProtection="1">
      <alignment horizontal="centerContinuous"/>
    </xf>
    <xf numFmtId="0" fontId="25" fillId="26" borderId="0" xfId="0" applyFont="1" applyFill="1" applyBorder="1" applyAlignment="1" applyProtection="1">
      <alignment horizontal="centerContinuous"/>
    </xf>
    <xf numFmtId="0" fontId="25" fillId="26" borderId="0" xfId="0" applyFont="1" applyFill="1" applyBorder="1" applyAlignment="1" applyProtection="1">
      <alignment horizontal="left"/>
    </xf>
    <xf numFmtId="0" fontId="18" fillId="26" borderId="0" xfId="0" applyFont="1" applyFill="1" applyBorder="1" applyAlignment="1" applyProtection="1">
      <alignment horizontal="left"/>
    </xf>
    <xf numFmtId="0" fontId="18" fillId="26" borderId="0" xfId="0" applyFont="1" applyFill="1" applyBorder="1" applyProtection="1"/>
    <xf numFmtId="0" fontId="18" fillId="30" borderId="0" xfId="0" applyFont="1" applyFill="1" applyBorder="1" applyProtection="1"/>
    <xf numFmtId="0" fontId="18" fillId="31" borderId="0" xfId="0" applyFont="1" applyFill="1" applyBorder="1" applyProtection="1"/>
    <xf numFmtId="167" fontId="25" fillId="31" borderId="0" xfId="57" applyNumberFormat="1" applyFont="1" applyFill="1" applyBorder="1" applyProtection="1"/>
    <xf numFmtId="2" fontId="25" fillId="31" borderId="0" xfId="0" applyNumberFormat="1" applyFont="1" applyFill="1" applyBorder="1" applyProtection="1"/>
    <xf numFmtId="166" fontId="25" fillId="31" borderId="0" xfId="0" applyNumberFormat="1" applyFont="1" applyFill="1" applyBorder="1" applyProtection="1"/>
    <xf numFmtId="0" fontId="25" fillId="32" borderId="0" xfId="0" applyFont="1" applyFill="1" applyBorder="1" applyProtection="1"/>
    <xf numFmtId="0" fontId="18" fillId="32" borderId="0" xfId="0" applyFont="1" applyFill="1" applyBorder="1" applyProtection="1"/>
    <xf numFmtId="2" fontId="25" fillId="32" borderId="0" xfId="0" applyNumberFormat="1" applyFont="1" applyFill="1" applyBorder="1" applyProtection="1"/>
    <xf numFmtId="0" fontId="25" fillId="33" borderId="0" xfId="0" applyFont="1" applyFill="1" applyBorder="1" applyProtection="1"/>
    <xf numFmtId="0" fontId="26" fillId="33" borderId="0" xfId="0" applyFont="1" applyFill="1" applyBorder="1" applyProtection="1"/>
    <xf numFmtId="0" fontId="18" fillId="33" borderId="0" xfId="0" applyFont="1" applyFill="1" applyBorder="1" applyProtection="1"/>
    <xf numFmtId="167" fontId="25" fillId="33" borderId="0" xfId="57" applyNumberFormat="1" applyFont="1" applyFill="1" applyBorder="1" applyProtection="1"/>
    <xf numFmtId="2" fontId="25" fillId="33" borderId="0" xfId="0" applyNumberFormat="1" applyFont="1" applyFill="1" applyBorder="1" applyProtection="1"/>
    <xf numFmtId="166" fontId="25" fillId="33" borderId="0" xfId="0" applyNumberFormat="1" applyFont="1" applyFill="1" applyBorder="1" applyProtection="1"/>
    <xf numFmtId="2" fontId="25" fillId="33" borderId="0" xfId="0" applyNumberFormat="1" applyFont="1" applyFill="1" applyBorder="1" applyAlignment="1" applyProtection="1">
      <alignment horizontal="right"/>
    </xf>
    <xf numFmtId="0" fontId="26" fillId="35" borderId="0" xfId="0" applyFont="1" applyFill="1" applyBorder="1" applyProtection="1"/>
    <xf numFmtId="168" fontId="25" fillId="35" borderId="0" xfId="0" applyNumberFormat="1" applyFont="1" applyFill="1" applyBorder="1" applyProtection="1"/>
    <xf numFmtId="0" fontId="18" fillId="35" borderId="0" xfId="0" applyFont="1" applyFill="1" applyBorder="1" applyProtection="1"/>
    <xf numFmtId="166" fontId="25" fillId="35" borderId="0" xfId="0" applyNumberFormat="1" applyFont="1" applyFill="1" applyBorder="1" applyProtection="1"/>
    <xf numFmtId="2" fontId="18" fillId="35" borderId="0" xfId="0" applyNumberFormat="1" applyFont="1" applyFill="1" applyBorder="1" applyProtection="1"/>
    <xf numFmtId="2" fontId="25" fillId="35" borderId="0" xfId="0" applyNumberFormat="1" applyFont="1" applyFill="1" applyBorder="1" applyProtection="1"/>
    <xf numFmtId="0" fontId="0" fillId="31" borderId="0" xfId="0" applyFill="1" applyBorder="1" applyAlignment="1"/>
    <xf numFmtId="0" fontId="25" fillId="35" borderId="14" xfId="0" applyFont="1" applyFill="1" applyBorder="1" applyProtection="1"/>
    <xf numFmtId="0" fontId="25" fillId="35" borderId="15" xfId="0" applyFont="1" applyFill="1" applyBorder="1" applyAlignment="1" applyProtection="1">
      <alignment horizontal="center"/>
    </xf>
    <xf numFmtId="0" fontId="18" fillId="35" borderId="14" xfId="0" applyFont="1" applyFill="1" applyBorder="1" applyProtection="1"/>
    <xf numFmtId="0" fontId="18" fillId="35" borderId="16" xfId="0" applyFont="1" applyFill="1" applyBorder="1" applyProtection="1"/>
    <xf numFmtId="0" fontId="18" fillId="35" borderId="17" xfId="0" applyFont="1" applyFill="1" applyBorder="1" applyProtection="1"/>
    <xf numFmtId="0" fontId="18" fillId="35" borderId="18" xfId="0" applyFont="1" applyFill="1" applyBorder="1" applyAlignment="1" applyProtection="1">
      <alignment horizontal="center"/>
    </xf>
    <xf numFmtId="0" fontId="18" fillId="26" borderId="0" xfId="0" applyFont="1" applyFill="1" applyBorder="1" applyAlignment="1" applyProtection="1">
      <alignment horizontal="center"/>
    </xf>
    <xf numFmtId="0" fontId="25" fillId="26" borderId="0" xfId="0" applyFont="1" applyFill="1" applyBorder="1" applyAlignment="1" applyProtection="1">
      <alignment horizontal="center"/>
    </xf>
    <xf numFmtId="0" fontId="18" fillId="32" borderId="22" xfId="0" applyFont="1" applyFill="1" applyBorder="1" applyProtection="1"/>
    <xf numFmtId="0" fontId="18" fillId="32" borderId="23" xfId="0" applyFont="1" applyFill="1" applyBorder="1" applyAlignment="1" applyProtection="1">
      <alignment horizontal="center"/>
    </xf>
    <xf numFmtId="0" fontId="25" fillId="32" borderId="23" xfId="0" applyFont="1" applyFill="1" applyBorder="1" applyAlignment="1" applyProtection="1">
      <alignment horizontal="center"/>
    </xf>
    <xf numFmtId="0" fontId="18" fillId="32" borderId="24" xfId="0" applyFont="1" applyFill="1" applyBorder="1" applyProtection="1"/>
    <xf numFmtId="0" fontId="18" fillId="32" borderId="25" xfId="0" applyFont="1" applyFill="1" applyBorder="1" applyProtection="1"/>
    <xf numFmtId="0" fontId="18" fillId="32" borderId="26" xfId="0" applyFont="1" applyFill="1" applyBorder="1" applyAlignment="1" applyProtection="1">
      <alignment horizontal="center"/>
    </xf>
    <xf numFmtId="165" fontId="25" fillId="30" borderId="0" xfId="0" applyNumberFormat="1" applyFont="1" applyFill="1" applyBorder="1" applyProtection="1"/>
    <xf numFmtId="0" fontId="18" fillId="40" borderId="0" xfId="0" applyFont="1" applyFill="1" applyBorder="1" applyProtection="1"/>
    <xf numFmtId="166" fontId="25" fillId="40" borderId="0" xfId="0" applyNumberFormat="1" applyFont="1" applyFill="1" applyBorder="1" applyProtection="1"/>
    <xf numFmtId="11" fontId="25" fillId="40" borderId="0" xfId="0" applyNumberFormat="1" applyFont="1" applyFill="1" applyBorder="1" applyProtection="1"/>
    <xf numFmtId="168" fontId="25" fillId="40" borderId="0" xfId="0" applyNumberFormat="1" applyFont="1" applyFill="1" applyBorder="1" applyProtection="1"/>
    <xf numFmtId="2" fontId="25" fillId="40" borderId="0" xfId="0" applyNumberFormat="1" applyFont="1" applyFill="1" applyBorder="1" applyAlignment="1" applyProtection="1">
      <alignment horizontal="right"/>
    </xf>
    <xf numFmtId="0" fontId="18" fillId="40" borderId="30" xfId="0" applyFont="1" applyFill="1" applyBorder="1" applyProtection="1"/>
    <xf numFmtId="0" fontId="18" fillId="40" borderId="31" xfId="0" applyFont="1" applyFill="1" applyBorder="1" applyAlignment="1" applyProtection="1">
      <alignment horizontal="center"/>
    </xf>
    <xf numFmtId="0" fontId="25" fillId="40" borderId="31" xfId="0" applyFont="1" applyFill="1" applyBorder="1" applyAlignment="1" applyProtection="1">
      <alignment horizontal="center"/>
    </xf>
    <xf numFmtId="0" fontId="18" fillId="40" borderId="32" xfId="0" applyFont="1" applyFill="1" applyBorder="1" applyProtection="1"/>
    <xf numFmtId="0" fontId="18" fillId="40" borderId="33" xfId="0" applyFont="1" applyFill="1" applyBorder="1" applyProtection="1"/>
    <xf numFmtId="0" fontId="18" fillId="40" borderId="34" xfId="0" applyFont="1" applyFill="1" applyBorder="1" applyAlignment="1" applyProtection="1">
      <alignment horizontal="center"/>
    </xf>
    <xf numFmtId="0" fontId="25" fillId="26" borderId="0" xfId="0" applyFont="1" applyFill="1" applyBorder="1" applyProtection="1"/>
    <xf numFmtId="165" fontId="25" fillId="26" borderId="0" xfId="0" applyNumberFormat="1" applyFont="1" applyFill="1" applyBorder="1" applyProtection="1"/>
    <xf numFmtId="0" fontId="0" fillId="27" borderId="0" xfId="0" applyFont="1" applyFill="1" applyBorder="1" applyProtection="1"/>
    <xf numFmtId="0" fontId="33" fillId="27" borderId="0" xfId="0" applyFont="1" applyFill="1" applyBorder="1" applyProtection="1"/>
    <xf numFmtId="0" fontId="33" fillId="27" borderId="0" xfId="0" applyFont="1" applyFill="1"/>
    <xf numFmtId="166" fontId="33" fillId="27" borderId="0" xfId="0" applyNumberFormat="1" applyFont="1" applyFill="1" applyBorder="1" applyProtection="1"/>
    <xf numFmtId="0" fontId="24" fillId="33" borderId="0" xfId="0" applyFont="1" applyFill="1" applyBorder="1" applyAlignment="1">
      <alignment horizontal="center" vertical="center"/>
    </xf>
    <xf numFmtId="0" fontId="24" fillId="35" borderId="14" xfId="0" applyFont="1" applyFill="1" applyBorder="1" applyAlignment="1" applyProtection="1">
      <alignment horizontal="center" vertical="center"/>
    </xf>
    <xf numFmtId="0" fontId="24" fillId="35" borderId="0" xfId="0" applyFont="1" applyFill="1" applyBorder="1" applyAlignment="1">
      <alignment horizontal="center" vertical="center"/>
    </xf>
    <xf numFmtId="0" fontId="24" fillId="35" borderId="15" xfId="0" applyFont="1" applyFill="1" applyBorder="1" applyAlignment="1">
      <alignment horizontal="center" vertical="center"/>
    </xf>
    <xf numFmtId="0" fontId="25" fillId="32" borderId="26" xfId="0" applyFont="1" applyFill="1" applyBorder="1" applyAlignment="1" applyProtection="1">
      <alignment horizontal="center"/>
    </xf>
    <xf numFmtId="0" fontId="32" fillId="40" borderId="0" xfId="0" applyFont="1" applyFill="1" applyBorder="1" applyProtection="1">
      <protection locked="0"/>
    </xf>
    <xf numFmtId="0" fontId="0" fillId="35" borderId="14" xfId="0" applyFont="1" applyFill="1" applyBorder="1" applyProtection="1"/>
    <xf numFmtId="0" fontId="33" fillId="27" borderId="0" xfId="0" applyFont="1" applyFill="1" applyBorder="1"/>
    <xf numFmtId="0" fontId="0" fillId="28" borderId="0" xfId="0" applyFont="1" applyFill="1" applyBorder="1" applyProtection="1"/>
    <xf numFmtId="0" fontId="0" fillId="26" borderId="0" xfId="0" applyFont="1" applyFill="1" applyBorder="1" applyProtection="1"/>
    <xf numFmtId="0" fontId="0" fillId="26" borderId="0" xfId="0" applyFont="1" applyFill="1" applyBorder="1" applyAlignment="1" applyProtection="1">
      <alignment horizontal="centerContinuous"/>
    </xf>
    <xf numFmtId="0" fontId="0" fillId="26" borderId="0" xfId="0" applyFont="1" applyFill="1" applyBorder="1" applyAlignment="1" applyProtection="1">
      <alignment horizontal="left"/>
    </xf>
    <xf numFmtId="0" fontId="4" fillId="27" borderId="0" xfId="0" applyFont="1" applyFill="1" applyProtection="1"/>
    <xf numFmtId="0" fontId="0" fillId="26" borderId="0" xfId="0" applyFont="1" applyFill="1" applyBorder="1" applyAlignment="1" applyProtection="1">
      <alignment horizontal="center"/>
    </xf>
    <xf numFmtId="0" fontId="0" fillId="31" borderId="0" xfId="0" applyFont="1" applyFill="1" applyBorder="1" applyAlignment="1">
      <alignment horizontal="center" vertical="center"/>
    </xf>
    <xf numFmtId="0" fontId="0" fillId="31" borderId="0" xfId="0" applyFont="1" applyFill="1" applyBorder="1" applyProtection="1"/>
    <xf numFmtId="2" fontId="0" fillId="35" borderId="0" xfId="0" applyNumberFormat="1" applyFont="1" applyFill="1" applyBorder="1" applyProtection="1"/>
    <xf numFmtId="0" fontId="0" fillId="33" borderId="0" xfId="0" applyFont="1" applyFill="1" applyBorder="1" applyProtection="1"/>
    <xf numFmtId="0" fontId="0" fillId="35" borderId="0" xfId="0" applyFont="1" applyFill="1" applyBorder="1" applyProtection="1"/>
    <xf numFmtId="0" fontId="0" fillId="40" borderId="30" xfId="0" applyFont="1" applyFill="1" applyBorder="1" applyProtection="1"/>
    <xf numFmtId="0" fontId="0" fillId="40" borderId="0" xfId="0" applyFont="1" applyFill="1" applyBorder="1" applyProtection="1"/>
    <xf numFmtId="0" fontId="0" fillId="30" borderId="0" xfId="0" applyFont="1" applyFill="1" applyBorder="1" applyProtection="1"/>
    <xf numFmtId="165" fontId="0" fillId="28" borderId="0" xfId="0" applyNumberFormat="1" applyFont="1" applyFill="1" applyBorder="1" applyProtection="1"/>
    <xf numFmtId="0" fontId="0" fillId="35" borderId="16" xfId="0" applyFont="1" applyFill="1" applyBorder="1" applyProtection="1"/>
    <xf numFmtId="0" fontId="0" fillId="35" borderId="17" xfId="0" applyFont="1" applyFill="1" applyBorder="1" applyProtection="1"/>
    <xf numFmtId="0" fontId="0" fillId="35" borderId="18" xfId="0" applyFont="1" applyFill="1" applyBorder="1" applyAlignment="1" applyProtection="1">
      <alignment horizontal="center"/>
    </xf>
    <xf numFmtId="0" fontId="0" fillId="32" borderId="22" xfId="0" applyFont="1" applyFill="1" applyBorder="1" applyProtection="1"/>
    <xf numFmtId="0" fontId="0" fillId="32" borderId="0" xfId="0" applyFont="1" applyFill="1" applyBorder="1" applyProtection="1"/>
    <xf numFmtId="0" fontId="0" fillId="32" borderId="23" xfId="0" applyFont="1" applyFill="1" applyBorder="1" applyAlignment="1" applyProtection="1">
      <alignment horizontal="center"/>
    </xf>
    <xf numFmtId="0" fontId="0" fillId="30" borderId="0" xfId="0" applyFont="1" applyFill="1" applyBorder="1" applyAlignment="1" applyProtection="1">
      <alignment horizontal="center"/>
    </xf>
    <xf numFmtId="0" fontId="0" fillId="40" borderId="32" xfId="0" applyFont="1" applyFill="1" applyBorder="1" applyProtection="1"/>
    <xf numFmtId="0" fontId="0" fillId="40" borderId="33" xfId="0" applyFont="1" applyFill="1" applyBorder="1" applyProtection="1"/>
    <xf numFmtId="0" fontId="0" fillId="40" borderId="34" xfId="0" applyFont="1" applyFill="1" applyBorder="1" applyAlignment="1" applyProtection="1">
      <alignment horizontal="center"/>
    </xf>
    <xf numFmtId="0" fontId="0" fillId="32" borderId="24" xfId="0" applyFont="1" applyFill="1" applyBorder="1" applyProtection="1"/>
    <xf numFmtId="0" fontId="0" fillId="32" borderId="25" xfId="0" applyFont="1" applyFill="1" applyBorder="1" applyProtection="1"/>
    <xf numFmtId="0" fontId="0" fillId="27" borderId="0" xfId="0" applyFont="1" applyFill="1" applyBorder="1" applyAlignment="1" applyProtection="1">
      <alignment horizontal="center"/>
    </xf>
    <xf numFmtId="0" fontId="31" fillId="26" borderId="0" xfId="0" applyFont="1" applyFill="1" applyBorder="1" applyProtection="1"/>
    <xf numFmtId="0" fontId="31" fillId="26" borderId="0" xfId="0" applyFont="1" applyFill="1" applyBorder="1" applyAlignment="1" applyProtection="1">
      <alignment horizontal="center"/>
    </xf>
    <xf numFmtId="0" fontId="31" fillId="27" borderId="0" xfId="0" applyFont="1" applyFill="1" applyBorder="1" applyProtection="1"/>
    <xf numFmtId="0" fontId="24" fillId="26" borderId="0" xfId="0" applyFont="1" applyFill="1" applyBorder="1" applyAlignment="1" applyProtection="1">
      <alignment horizontal="left"/>
    </xf>
    <xf numFmtId="0" fontId="0" fillId="28" borderId="30" xfId="0" applyFont="1" applyFill="1" applyBorder="1" applyProtection="1"/>
    <xf numFmtId="0" fontId="24" fillId="33" borderId="38" xfId="0" applyFont="1" applyFill="1" applyBorder="1" applyAlignment="1" applyProtection="1">
      <alignment horizontal="center" vertical="center"/>
    </xf>
    <xf numFmtId="0" fontId="24" fillId="33" borderId="39" xfId="0" applyFont="1" applyFill="1" applyBorder="1" applyAlignment="1">
      <alignment horizontal="center" vertical="center"/>
    </xf>
    <xf numFmtId="0" fontId="0" fillId="33" borderId="38" xfId="0" applyFont="1" applyFill="1" applyBorder="1" applyProtection="1"/>
    <xf numFmtId="0" fontId="25" fillId="33" borderId="39" xfId="0" applyFont="1" applyFill="1" applyBorder="1" applyAlignment="1" applyProtection="1">
      <alignment horizontal="center"/>
    </xf>
    <xf numFmtId="0" fontId="0" fillId="33" borderId="39" xfId="0" applyFont="1" applyFill="1" applyBorder="1" applyAlignment="1" applyProtection="1">
      <alignment horizontal="center"/>
    </xf>
    <xf numFmtId="0" fontId="0" fillId="33" borderId="40" xfId="0" applyFont="1" applyFill="1" applyBorder="1" applyProtection="1"/>
    <xf numFmtId="166" fontId="26" fillId="33" borderId="41" xfId="0" applyNumberFormat="1" applyFont="1" applyFill="1" applyBorder="1" applyProtection="1">
      <protection locked="0"/>
    </xf>
    <xf numFmtId="167" fontId="25" fillId="33" borderId="41" xfId="57" applyNumberFormat="1" applyFont="1" applyFill="1" applyBorder="1" applyProtection="1"/>
    <xf numFmtId="0" fontId="0" fillId="33" borderId="42" xfId="0" applyFont="1" applyFill="1" applyBorder="1" applyAlignment="1" applyProtection="1">
      <alignment horizontal="center"/>
    </xf>
    <xf numFmtId="0" fontId="24" fillId="31" borderId="46" xfId="0" applyFont="1" applyFill="1" applyBorder="1" applyAlignment="1" applyProtection="1">
      <alignment horizontal="center" vertical="center"/>
    </xf>
    <xf numFmtId="0" fontId="0" fillId="31" borderId="47" xfId="0" applyFont="1" applyFill="1" applyBorder="1" applyAlignment="1">
      <alignment horizontal="center" vertical="center"/>
    </xf>
    <xf numFmtId="0" fontId="0" fillId="31" borderId="46" xfId="0" applyFont="1" applyFill="1" applyBorder="1" applyProtection="1"/>
    <xf numFmtId="0" fontId="25" fillId="31" borderId="47" xfId="0" applyFont="1" applyFill="1" applyBorder="1" applyAlignment="1" applyProtection="1">
      <alignment horizontal="center"/>
    </xf>
    <xf numFmtId="0" fontId="0" fillId="31" borderId="48" xfId="0" applyFont="1" applyFill="1" applyBorder="1" applyProtection="1"/>
    <xf numFmtId="0" fontId="0" fillId="31" borderId="49" xfId="0" applyFont="1" applyFill="1" applyBorder="1" applyProtection="1"/>
    <xf numFmtId="0" fontId="25" fillId="31" borderId="50" xfId="0" applyFont="1" applyFill="1" applyBorder="1" applyAlignment="1" applyProtection="1">
      <alignment horizontal="center"/>
    </xf>
    <xf numFmtId="0" fontId="0" fillId="30" borderId="54" xfId="0" applyFont="1" applyFill="1" applyBorder="1" applyProtection="1"/>
    <xf numFmtId="0" fontId="25" fillId="30" borderId="55" xfId="0" applyFont="1" applyFill="1" applyBorder="1" applyAlignment="1" applyProtection="1">
      <alignment horizontal="center"/>
    </xf>
    <xf numFmtId="0" fontId="0" fillId="28" borderId="54" xfId="0" applyFont="1" applyFill="1" applyBorder="1" applyProtection="1"/>
    <xf numFmtId="0" fontId="0" fillId="30" borderId="56" xfId="0" applyFont="1" applyFill="1" applyBorder="1" applyProtection="1"/>
    <xf numFmtId="0" fontId="0" fillId="30" borderId="57" xfId="0" applyFont="1" applyFill="1" applyBorder="1" applyProtection="1"/>
    <xf numFmtId="0" fontId="25" fillId="30" borderId="58" xfId="0" applyFont="1" applyFill="1" applyBorder="1" applyAlignment="1" applyProtection="1">
      <alignment horizontal="center"/>
    </xf>
    <xf numFmtId="0" fontId="25" fillId="31" borderId="46" xfId="0" applyFont="1" applyFill="1" applyBorder="1" applyAlignment="1" applyProtection="1"/>
    <xf numFmtId="0" fontId="0" fillId="31" borderId="47" xfId="0" applyFill="1" applyBorder="1" applyAlignment="1"/>
    <xf numFmtId="0" fontId="18" fillId="31" borderId="46" xfId="0" applyFont="1" applyFill="1" applyBorder="1" applyProtection="1"/>
    <xf numFmtId="0" fontId="18" fillId="31" borderId="47" xfId="0" applyFont="1" applyFill="1" applyBorder="1" applyAlignment="1" applyProtection="1">
      <alignment horizontal="center"/>
    </xf>
    <xf numFmtId="0" fontId="18" fillId="31" borderId="48" xfId="0" applyFont="1" applyFill="1" applyBorder="1" applyProtection="1"/>
    <xf numFmtId="0" fontId="18" fillId="31" borderId="49" xfId="0" applyFont="1" applyFill="1" applyBorder="1" applyProtection="1"/>
    <xf numFmtId="2" fontId="25" fillId="31" borderId="49" xfId="0" applyNumberFormat="1" applyFont="1" applyFill="1" applyBorder="1" applyProtection="1"/>
    <xf numFmtId="0" fontId="18" fillId="30" borderId="54" xfId="0" applyFont="1" applyFill="1" applyBorder="1" applyProtection="1"/>
    <xf numFmtId="0" fontId="18" fillId="28" borderId="54" xfId="0" applyFont="1" applyFill="1" applyBorder="1" applyProtection="1"/>
    <xf numFmtId="0" fontId="18" fillId="30" borderId="56" xfId="0" applyFont="1" applyFill="1" applyBorder="1" applyProtection="1"/>
    <xf numFmtId="0" fontId="18" fillId="30" borderId="57" xfId="0" applyFont="1" applyFill="1" applyBorder="1" applyProtection="1"/>
    <xf numFmtId="0" fontId="25" fillId="33" borderId="38" xfId="0" applyFont="1" applyFill="1" applyBorder="1" applyProtection="1"/>
    <xf numFmtId="0" fontId="18" fillId="33" borderId="38" xfId="0" applyFont="1" applyFill="1" applyBorder="1" applyProtection="1"/>
    <xf numFmtId="0" fontId="18" fillId="33" borderId="41" xfId="0" applyFont="1" applyFill="1" applyBorder="1" applyProtection="1"/>
    <xf numFmtId="0" fontId="25" fillId="33" borderId="42" xfId="0" applyFont="1" applyFill="1" applyBorder="1" applyAlignment="1" applyProtection="1">
      <alignment horizontal="center"/>
    </xf>
    <xf numFmtId="0" fontId="31" fillId="26" borderId="0" xfId="0" applyFont="1" applyFill="1" applyBorder="1" applyAlignment="1" applyProtection="1">
      <alignment horizontal="right"/>
    </xf>
    <xf numFmtId="0" fontId="18" fillId="48" borderId="14" xfId="0" applyFont="1" applyFill="1" applyBorder="1" applyProtection="1"/>
    <xf numFmtId="0" fontId="0" fillId="48" borderId="0" xfId="0" applyFont="1" applyFill="1" applyBorder="1" applyProtection="1"/>
    <xf numFmtId="165" fontId="0" fillId="48" borderId="0" xfId="0" applyNumberFormat="1" applyFont="1" applyFill="1" applyBorder="1" applyProtection="1"/>
    <xf numFmtId="0" fontId="0" fillId="48" borderId="14" xfId="0" applyFont="1" applyFill="1" applyBorder="1" applyProtection="1"/>
    <xf numFmtId="0" fontId="0" fillId="48" borderId="30" xfId="0" applyFont="1" applyFill="1" applyBorder="1" applyProtection="1"/>
    <xf numFmtId="0" fontId="25" fillId="48" borderId="0" xfId="0" applyFont="1" applyFill="1" applyBorder="1" applyProtection="1"/>
    <xf numFmtId="0" fontId="25" fillId="48" borderId="31" xfId="0" applyFont="1" applyFill="1" applyBorder="1" applyAlignment="1" applyProtection="1">
      <alignment horizontal="center"/>
    </xf>
    <xf numFmtId="165" fontId="25" fillId="28" borderId="0" xfId="0" applyNumberFormat="1" applyFont="1" applyFill="1" applyBorder="1" applyProtection="1"/>
    <xf numFmtId="0" fontId="25" fillId="28" borderId="31" xfId="0" applyFont="1" applyFill="1" applyBorder="1" applyAlignment="1" applyProtection="1">
      <alignment horizontal="center"/>
    </xf>
    <xf numFmtId="0" fontId="25" fillId="28" borderId="55" xfId="0" applyFont="1" applyFill="1" applyBorder="1" applyAlignment="1" applyProtection="1">
      <alignment horizontal="center"/>
    </xf>
    <xf numFmtId="0" fontId="25" fillId="48" borderId="15" xfId="0" applyFont="1" applyFill="1" applyBorder="1" applyAlignment="1" applyProtection="1">
      <alignment horizontal="center"/>
    </xf>
    <xf numFmtId="11" fontId="26" fillId="48" borderId="10" xfId="0" applyNumberFormat="1" applyFont="1" applyFill="1" applyBorder="1" applyProtection="1">
      <protection locked="0"/>
    </xf>
    <xf numFmtId="166" fontId="26" fillId="48" borderId="10" xfId="0" applyNumberFormat="1" applyFont="1" applyFill="1" applyBorder="1" applyProtection="1">
      <protection locked="0"/>
    </xf>
    <xf numFmtId="0" fontId="26" fillId="48" borderId="10" xfId="0" applyNumberFormat="1" applyFont="1" applyFill="1" applyBorder="1" applyProtection="1">
      <protection locked="0"/>
    </xf>
    <xf numFmtId="0" fontId="37" fillId="0" borderId="59" xfId="0" applyFont="1" applyBorder="1" applyProtection="1"/>
    <xf numFmtId="164" fontId="38" fillId="0" borderId="60" xfId="0" applyNumberFormat="1" applyFont="1" applyBorder="1" applyProtection="1"/>
    <xf numFmtId="0" fontId="38" fillId="0" borderId="61" xfId="0" applyFont="1" applyBorder="1" applyAlignment="1" applyProtection="1">
      <alignment horizontal="center"/>
    </xf>
    <xf numFmtId="0" fontId="38" fillId="0" borderId="0" xfId="0" applyFont="1" applyBorder="1" applyProtection="1"/>
    <xf numFmtId="0" fontId="37" fillId="0" borderId="0" xfId="0" applyFont="1" applyBorder="1" applyAlignment="1" applyProtection="1">
      <alignment horizontal="left"/>
    </xf>
    <xf numFmtId="0" fontId="37" fillId="0" borderId="62" xfId="0" applyFont="1" applyBorder="1" applyProtection="1"/>
    <xf numFmtId="164" fontId="38" fillId="0" borderId="0" xfId="0" applyNumberFormat="1" applyFont="1" applyBorder="1" applyProtection="1"/>
    <xf numFmtId="0" fontId="38" fillId="0" borderId="63" xfId="0" applyFont="1" applyBorder="1" applyAlignment="1" applyProtection="1">
      <alignment horizontal="center"/>
    </xf>
    <xf numFmtId="11" fontId="38" fillId="0" borderId="0" xfId="0" applyNumberFormat="1" applyFont="1" applyBorder="1" applyProtection="1"/>
    <xf numFmtId="0" fontId="37" fillId="50" borderId="10" xfId="0" applyFont="1" applyFill="1" applyBorder="1" applyAlignment="1" applyProtection="1">
      <alignment horizontal="left"/>
    </xf>
    <xf numFmtId="0" fontId="38" fillId="0" borderId="60" xfId="0" applyFont="1" applyBorder="1" applyProtection="1"/>
    <xf numFmtId="0" fontId="39" fillId="0" borderId="60" xfId="0" applyFont="1" applyBorder="1" applyAlignment="1" applyProtection="1">
      <alignment horizontal="centerContinuous"/>
    </xf>
    <xf numFmtId="0" fontId="38" fillId="0" borderId="60" xfId="0" applyFont="1" applyBorder="1" applyAlignment="1" applyProtection="1">
      <alignment horizontal="centerContinuous"/>
    </xf>
    <xf numFmtId="0" fontId="38" fillId="0" borderId="61" xfId="0" applyFont="1" applyBorder="1" applyAlignment="1" applyProtection="1">
      <alignment horizontal="centerContinuous"/>
    </xf>
    <xf numFmtId="0" fontId="38" fillId="0" borderId="59" xfId="0" applyFont="1" applyBorder="1" applyAlignment="1" applyProtection="1">
      <alignment horizontal="centerContinuous"/>
    </xf>
    <xf numFmtId="11" fontId="38" fillId="0" borderId="60" xfId="0" applyNumberFormat="1" applyFont="1" applyBorder="1" applyAlignment="1" applyProtection="1">
      <alignment horizontal="centerContinuous"/>
    </xf>
    <xf numFmtId="0" fontId="37" fillId="0" borderId="64" xfId="0" applyFont="1" applyBorder="1" applyProtection="1"/>
    <xf numFmtId="164" fontId="38" fillId="0" borderId="65" xfId="0" applyNumberFormat="1" applyFont="1" applyBorder="1" applyProtection="1"/>
    <xf numFmtId="0" fontId="38" fillId="0" borderId="66" xfId="0" applyFont="1" applyFill="1" applyBorder="1" applyAlignment="1" applyProtection="1">
      <alignment horizontal="center"/>
    </xf>
    <xf numFmtId="0" fontId="40" fillId="0" borderId="62" xfId="0" applyFont="1" applyBorder="1" applyAlignment="1" applyProtection="1">
      <alignment horizontal="center"/>
    </xf>
    <xf numFmtId="0" fontId="40" fillId="0" borderId="0" xfId="0" applyFont="1" applyBorder="1" applyAlignment="1" applyProtection="1">
      <alignment horizontal="center"/>
    </xf>
    <xf numFmtId="0" fontId="40" fillId="0" borderId="0" xfId="0" applyFont="1" applyBorder="1" applyAlignment="1" applyProtection="1">
      <alignment horizontal="centerContinuous"/>
    </xf>
    <xf numFmtId="0" fontId="40" fillId="0" borderId="63" xfId="0" applyFont="1" applyBorder="1" applyAlignment="1" applyProtection="1">
      <alignment horizontal="centerContinuous"/>
    </xf>
    <xf numFmtId="0" fontId="40" fillId="0" borderId="62" xfId="0" applyFont="1" applyBorder="1" applyAlignment="1" applyProtection="1">
      <alignment horizontal="centerContinuous"/>
    </xf>
    <xf numFmtId="0" fontId="38" fillId="0" borderId="63" xfId="0" applyFont="1" applyBorder="1" applyAlignment="1" applyProtection="1">
      <alignment horizontal="centerContinuous"/>
    </xf>
    <xf numFmtId="0" fontId="38" fillId="0" borderId="0" xfId="0" applyFont="1" applyBorder="1" applyAlignment="1" applyProtection="1">
      <alignment horizontal="center"/>
    </xf>
    <xf numFmtId="0" fontId="38" fillId="0" borderId="62" xfId="0" applyFont="1" applyBorder="1" applyProtection="1"/>
    <xf numFmtId="0" fontId="38" fillId="0" borderId="63" xfId="0" applyFont="1" applyBorder="1" applyProtection="1"/>
    <xf numFmtId="11" fontId="38" fillId="0" borderId="62" xfId="0" applyNumberFormat="1" applyFont="1" applyBorder="1" applyProtection="1"/>
    <xf numFmtId="11" fontId="38" fillId="0" borderId="63" xfId="0" applyNumberFormat="1" applyFont="1" applyBorder="1" applyProtection="1"/>
    <xf numFmtId="0" fontId="37" fillId="0" borderId="67" xfId="0" applyFont="1" applyFill="1" applyBorder="1" applyProtection="1"/>
    <xf numFmtId="0" fontId="38" fillId="0" borderId="68" xfId="0" applyFont="1" applyBorder="1" applyProtection="1"/>
    <xf numFmtId="0" fontId="38" fillId="0" borderId="69" xfId="0" applyFont="1" applyBorder="1" applyAlignment="1" applyProtection="1">
      <alignment horizontal="center"/>
    </xf>
    <xf numFmtId="0" fontId="37" fillId="0" borderId="59" xfId="0" applyFont="1" applyFill="1" applyBorder="1" applyProtection="1"/>
    <xf numFmtId="168" fontId="38" fillId="0" borderId="60" xfId="0" applyNumberFormat="1" applyFont="1" applyBorder="1" applyProtection="1"/>
    <xf numFmtId="0" fontId="37" fillId="0" borderId="62" xfId="0" applyFont="1" applyFill="1" applyBorder="1" applyProtection="1"/>
    <xf numFmtId="0" fontId="38" fillId="0" borderId="0" xfId="0" applyFont="1" applyFill="1" applyBorder="1" applyProtection="1"/>
    <xf numFmtId="169" fontId="38" fillId="0" borderId="0" xfId="0" applyNumberFormat="1" applyFont="1" applyBorder="1" applyProtection="1"/>
    <xf numFmtId="0" fontId="37" fillId="0" borderId="64" xfId="0" applyFont="1" applyFill="1" applyBorder="1" applyProtection="1"/>
    <xf numFmtId="169" fontId="38" fillId="0" borderId="65" xfId="0" applyNumberFormat="1" applyFont="1" applyBorder="1" applyProtection="1"/>
    <xf numFmtId="0" fontId="38" fillId="0" borderId="66" xfId="0" applyFont="1" applyBorder="1" applyAlignment="1" applyProtection="1">
      <alignment horizontal="center"/>
    </xf>
    <xf numFmtId="0" fontId="38" fillId="0" borderId="64" xfId="0" applyFont="1" applyBorder="1" applyProtection="1"/>
    <xf numFmtId="0" fontId="38" fillId="0" borderId="65" xfId="0" applyFont="1" applyBorder="1" applyProtection="1"/>
    <xf numFmtId="11" fontId="38" fillId="0" borderId="65" xfId="0" applyNumberFormat="1" applyFont="1" applyBorder="1" applyProtection="1"/>
    <xf numFmtId="0" fontId="38" fillId="0" borderId="66" xfId="0" applyFont="1" applyBorder="1" applyProtection="1"/>
    <xf numFmtId="11" fontId="38" fillId="0" borderId="64" xfId="0" applyNumberFormat="1" applyFont="1" applyBorder="1" applyProtection="1"/>
    <xf numFmtId="2" fontId="38" fillId="0" borderId="0" xfId="0" applyNumberFormat="1" applyFont="1" applyBorder="1" applyProtection="1"/>
    <xf numFmtId="11" fontId="38" fillId="0" borderId="0" xfId="0" applyNumberFormat="1" applyFont="1" applyProtection="1"/>
    <xf numFmtId="168" fontId="38" fillId="0" borderId="0" xfId="0" applyNumberFormat="1" applyFont="1" applyBorder="1" applyProtection="1"/>
    <xf numFmtId="165" fontId="38" fillId="0" borderId="0" xfId="0" applyNumberFormat="1" applyFont="1" applyBorder="1" applyProtection="1"/>
    <xf numFmtId="0" fontId="38" fillId="0" borderId="61" xfId="0" applyFont="1" applyBorder="1" applyProtection="1"/>
    <xf numFmtId="0" fontId="37" fillId="50" borderId="70" xfId="0" applyFont="1" applyFill="1" applyBorder="1" applyAlignment="1" applyProtection="1"/>
    <xf numFmtId="0" fontId="38" fillId="0" borderId="60" xfId="0" applyFont="1" applyBorder="1" applyAlignment="1" applyProtection="1">
      <alignment horizontal="center"/>
    </xf>
    <xf numFmtId="0" fontId="38" fillId="0" borderId="71" xfId="0" applyFont="1" applyBorder="1" applyAlignment="1" applyProtection="1">
      <alignment horizontal="center"/>
    </xf>
    <xf numFmtId="0" fontId="38" fillId="0" borderId="72" xfId="0" applyFont="1" applyBorder="1" applyProtection="1"/>
    <xf numFmtId="0" fontId="38" fillId="0" borderId="62" xfId="0" applyFont="1" applyBorder="1" applyAlignment="1" applyProtection="1">
      <alignment horizontal="left"/>
    </xf>
    <xf numFmtId="10" fontId="38" fillId="0" borderId="73" xfId="0" applyNumberFormat="1" applyFont="1" applyBorder="1" applyProtection="1"/>
    <xf numFmtId="10" fontId="38" fillId="0" borderId="0" xfId="0" applyNumberFormat="1" applyFont="1" applyBorder="1" applyProtection="1"/>
    <xf numFmtId="10" fontId="38" fillId="0" borderId="0" xfId="57" applyNumberFormat="1" applyFont="1" applyBorder="1" applyProtection="1"/>
    <xf numFmtId="10" fontId="38" fillId="0" borderId="63" xfId="57" applyNumberFormat="1" applyFont="1" applyBorder="1" applyProtection="1"/>
    <xf numFmtId="167" fontId="38" fillId="0" borderId="65" xfId="57" applyNumberFormat="1" applyFont="1" applyBorder="1" applyProtection="1"/>
    <xf numFmtId="0" fontId="38" fillId="0" borderId="62" xfId="0" applyFont="1" applyFill="1" applyBorder="1" applyProtection="1"/>
    <xf numFmtId="0" fontId="38" fillId="0" borderId="64" xfId="0" applyFont="1" applyFill="1" applyBorder="1" applyProtection="1"/>
    <xf numFmtId="10" fontId="38" fillId="0" borderId="65" xfId="57" applyNumberFormat="1" applyFont="1" applyFill="1" applyBorder="1" applyProtection="1"/>
    <xf numFmtId="0" fontId="37" fillId="0" borderId="67" xfId="0" applyFont="1" applyBorder="1" applyProtection="1"/>
    <xf numFmtId="0" fontId="38" fillId="0" borderId="0" xfId="0" applyFont="1" applyBorder="1" applyAlignment="1" applyProtection="1">
      <alignment horizontal="centerContinuous"/>
    </xf>
    <xf numFmtId="0" fontId="38" fillId="0" borderId="64" xfId="0" applyFont="1" applyBorder="1" applyAlignment="1" applyProtection="1">
      <alignment horizontal="left"/>
    </xf>
    <xf numFmtId="0" fontId="38" fillId="0" borderId="65" xfId="0" applyFont="1" applyBorder="1" applyAlignment="1" applyProtection="1">
      <alignment horizontal="center"/>
    </xf>
    <xf numFmtId="0" fontId="38" fillId="0" borderId="74" xfId="0" applyFont="1" applyBorder="1" applyProtection="1"/>
    <xf numFmtId="10" fontId="38" fillId="0" borderId="75" xfId="0" applyNumberFormat="1" applyFont="1" applyBorder="1" applyProtection="1"/>
    <xf numFmtId="0" fontId="42" fillId="0" borderId="76" xfId="84" applyFont="1" applyBorder="1" applyAlignment="1">
      <alignment horizontal="right" vertical="center"/>
    </xf>
    <xf numFmtId="0" fontId="42" fillId="0" borderId="69" xfId="84" applyFont="1" applyBorder="1"/>
    <xf numFmtId="10" fontId="38" fillId="0" borderId="0" xfId="57" applyNumberFormat="1" applyFont="1" applyFill="1" applyBorder="1" applyProtection="1"/>
    <xf numFmtId="10" fontId="38" fillId="0" borderId="63" xfId="57" applyNumberFormat="1" applyFont="1" applyFill="1" applyBorder="1" applyProtection="1"/>
    <xf numFmtId="0" fontId="43" fillId="25" borderId="67" xfId="84" applyFont="1" applyFill="1" applyBorder="1" applyAlignment="1">
      <alignment horizontal="center" vertical="center" wrapText="1"/>
    </xf>
    <xf numFmtId="0" fontId="43" fillId="25" borderId="68" xfId="84" applyFont="1" applyFill="1" applyBorder="1" applyAlignment="1">
      <alignment horizontal="center" vertical="center"/>
    </xf>
    <xf numFmtId="0" fontId="43" fillId="25" borderId="69" xfId="84" applyFont="1" applyFill="1" applyBorder="1" applyAlignment="1">
      <alignment horizontal="center" vertical="center" wrapText="1"/>
    </xf>
    <xf numFmtId="0" fontId="44" fillId="51" borderId="84" xfId="84" applyFont="1" applyFill="1" applyBorder="1" applyAlignment="1">
      <alignment horizontal="center" vertical="center" wrapText="1"/>
    </xf>
    <xf numFmtId="0" fontId="44" fillId="51" borderId="85" xfId="84" applyFont="1" applyFill="1" applyBorder="1" applyAlignment="1">
      <alignment horizontal="center" vertical="center" wrapText="1"/>
    </xf>
    <xf numFmtId="0" fontId="44" fillId="25" borderId="86" xfId="84" applyFont="1" applyFill="1" applyBorder="1" applyAlignment="1">
      <alignment horizontal="right" vertical="center"/>
    </xf>
    <xf numFmtId="3" fontId="42" fillId="0" borderId="87" xfId="84" applyNumberFormat="1" applyFont="1" applyBorder="1" applyAlignment="1">
      <alignment horizontal="right" vertical="center" wrapText="1"/>
    </xf>
    <xf numFmtId="0" fontId="42" fillId="0" borderId="63" xfId="84" applyFont="1" applyBorder="1" applyAlignment="1">
      <alignment horizontal="left" vertical="center" wrapText="1"/>
    </xf>
    <xf numFmtId="0" fontId="45" fillId="52" borderId="62" xfId="84" applyFont="1" applyFill="1" applyBorder="1" applyAlignment="1">
      <alignment horizontal="center" vertical="center"/>
    </xf>
    <xf numFmtId="166" fontId="42" fillId="52" borderId="0" xfId="84" applyNumberFormat="1" applyFont="1" applyFill="1" applyBorder="1" applyAlignment="1">
      <alignment horizontal="center" vertical="center"/>
    </xf>
    <xf numFmtId="165" fontId="42" fillId="52" borderId="0" xfId="84" applyNumberFormat="1" applyFont="1" applyFill="1" applyBorder="1" applyAlignment="1">
      <alignment horizontal="center" vertical="center"/>
    </xf>
    <xf numFmtId="169" fontId="42" fillId="52" borderId="0" xfId="84" applyNumberFormat="1" applyFont="1" applyFill="1" applyBorder="1" applyAlignment="1">
      <alignment horizontal="center" vertical="center"/>
    </xf>
    <xf numFmtId="170" fontId="42" fillId="52" borderId="0" xfId="84" applyNumberFormat="1" applyFont="1" applyFill="1" applyBorder="1" applyAlignment="1">
      <alignment horizontal="center" vertical="center"/>
    </xf>
    <xf numFmtId="165" fontId="42" fillId="52" borderId="63" xfId="84" applyNumberFormat="1" applyFont="1" applyFill="1" applyBorder="1" applyAlignment="1">
      <alignment horizontal="center" vertical="center"/>
    </xf>
    <xf numFmtId="0" fontId="44" fillId="25" borderId="88" xfId="84" applyFont="1" applyFill="1" applyBorder="1" applyAlignment="1">
      <alignment horizontal="right" vertical="center"/>
    </xf>
    <xf numFmtId="168" fontId="42" fillId="0" borderId="87" xfId="84" applyNumberFormat="1" applyFont="1" applyBorder="1" applyAlignment="1">
      <alignment horizontal="right" vertical="center" wrapText="1"/>
    </xf>
    <xf numFmtId="10" fontId="38" fillId="0" borderId="65" xfId="57" applyNumberFormat="1" applyFont="1" applyBorder="1" applyProtection="1"/>
    <xf numFmtId="10" fontId="38" fillId="0" borderId="66" xfId="57" applyNumberFormat="1" applyFont="1" applyBorder="1" applyProtection="1"/>
    <xf numFmtId="0" fontId="46" fillId="25" borderId="88" xfId="84" applyFont="1" applyFill="1" applyBorder="1" applyAlignment="1">
      <alignment horizontal="right" vertical="center"/>
    </xf>
    <xf numFmtId="166" fontId="42" fillId="0" borderId="87" xfId="84" applyNumberFormat="1" applyFont="1" applyBorder="1" applyAlignment="1">
      <alignment horizontal="right" vertical="center" wrapText="1"/>
    </xf>
    <xf numFmtId="0" fontId="44" fillId="25" borderId="89" xfId="84" applyFont="1" applyFill="1" applyBorder="1" applyAlignment="1">
      <alignment horizontal="right" vertical="center"/>
    </xf>
    <xf numFmtId="171" fontId="42" fillId="0" borderId="90" xfId="84" applyNumberFormat="1" applyFont="1" applyBorder="1" applyAlignment="1">
      <alignment horizontal="right" vertical="center" wrapText="1"/>
    </xf>
    <xf numFmtId="0" fontId="42" fillId="0" borderId="66" xfId="84" applyFont="1" applyBorder="1" applyAlignment="1">
      <alignment horizontal="left" vertical="center" wrapText="1"/>
    </xf>
    <xf numFmtId="11" fontId="38" fillId="0" borderId="61" xfId="0" applyNumberFormat="1" applyFont="1" applyBorder="1" applyProtection="1"/>
    <xf numFmtId="0" fontId="38" fillId="0" borderId="0" xfId="0" applyFont="1" applyFill="1" applyBorder="1" applyAlignment="1" applyProtection="1">
      <alignment horizontal="center"/>
    </xf>
    <xf numFmtId="165" fontId="38" fillId="0" borderId="0" xfId="0" applyNumberFormat="1" applyFont="1" applyFill="1" applyBorder="1" applyProtection="1"/>
    <xf numFmtId="167" fontId="38" fillId="0" borderId="0" xfId="57" applyNumberFormat="1" applyFont="1" applyFill="1" applyBorder="1" applyProtection="1"/>
    <xf numFmtId="165" fontId="38" fillId="0" borderId="63" xfId="0" applyNumberFormat="1" applyFont="1" applyBorder="1" applyProtection="1"/>
    <xf numFmtId="0" fontId="45" fillId="52" borderId="64" xfId="84" applyFont="1" applyFill="1" applyBorder="1" applyAlignment="1">
      <alignment horizontal="center" vertical="center"/>
    </xf>
    <xf numFmtId="166" fontId="42" fillId="52" borderId="65" xfId="84" applyNumberFormat="1" applyFont="1" applyFill="1" applyBorder="1" applyAlignment="1">
      <alignment horizontal="center" vertical="center"/>
    </xf>
    <xf numFmtId="165" fontId="42" fillId="52" borderId="65" xfId="84" applyNumberFormat="1" applyFont="1" applyFill="1" applyBorder="1" applyAlignment="1">
      <alignment horizontal="center" vertical="center"/>
    </xf>
    <xf numFmtId="169" fontId="42" fillId="52" borderId="65" xfId="84" applyNumberFormat="1" applyFont="1" applyFill="1" applyBorder="1" applyAlignment="1">
      <alignment horizontal="center" vertical="center"/>
    </xf>
    <xf numFmtId="170" fontId="42" fillId="52" borderId="65" xfId="84" applyNumberFormat="1" applyFont="1" applyFill="1" applyBorder="1" applyAlignment="1">
      <alignment horizontal="center" vertical="center"/>
    </xf>
    <xf numFmtId="165" fontId="42" fillId="52" borderId="66" xfId="84" applyNumberFormat="1" applyFont="1" applyFill="1" applyBorder="1" applyAlignment="1">
      <alignment horizontal="center" vertical="center"/>
    </xf>
    <xf numFmtId="165" fontId="38" fillId="0" borderId="65" xfId="0" applyNumberFormat="1" applyFont="1" applyFill="1" applyBorder="1" applyProtection="1"/>
    <xf numFmtId="167" fontId="38" fillId="0" borderId="65" xfId="57" applyNumberFormat="1" applyFont="1" applyFill="1" applyBorder="1" applyProtection="1"/>
    <xf numFmtId="165" fontId="38" fillId="0" borderId="65" xfId="0" applyNumberFormat="1" applyFont="1" applyBorder="1" applyProtection="1"/>
    <xf numFmtId="165" fontId="38" fillId="0" borderId="66" xfId="0" applyNumberFormat="1" applyFont="1" applyBorder="1" applyProtection="1"/>
    <xf numFmtId="0" fontId="37" fillId="50" borderId="59" xfId="0" applyFont="1" applyFill="1" applyBorder="1" applyAlignment="1" applyProtection="1">
      <alignment horizontal="left"/>
    </xf>
    <xf numFmtId="0" fontId="37" fillId="50" borderId="60" xfId="0" applyFont="1" applyFill="1" applyBorder="1" applyAlignment="1" applyProtection="1">
      <alignment horizontal="centerContinuous"/>
    </xf>
    <xf numFmtId="0" fontId="37" fillId="0" borderId="60" xfId="0" applyFont="1" applyBorder="1" applyAlignment="1" applyProtection="1">
      <alignment horizontal="centerContinuous"/>
    </xf>
    <xf numFmtId="0" fontId="37" fillId="0" borderId="61" xfId="0" applyFont="1" applyBorder="1" applyAlignment="1" applyProtection="1">
      <alignment horizontal="centerContinuous"/>
    </xf>
    <xf numFmtId="0" fontId="38" fillId="0" borderId="59" xfId="0" applyFont="1" applyBorder="1" applyAlignment="1" applyProtection="1">
      <alignment horizontal="center"/>
    </xf>
    <xf numFmtId="0" fontId="38" fillId="0" borderId="62" xfId="0" applyFont="1" applyBorder="1" applyAlignment="1" applyProtection="1">
      <alignment horizontal="center"/>
    </xf>
    <xf numFmtId="166" fontId="38" fillId="0" borderId="0" xfId="0" applyNumberFormat="1" applyFont="1" applyBorder="1" applyProtection="1"/>
    <xf numFmtId="166" fontId="38" fillId="0" borderId="63" xfId="0" applyNumberFormat="1" applyFont="1" applyBorder="1" applyProtection="1"/>
    <xf numFmtId="2" fontId="49" fillId="0" borderId="0" xfId="0" applyNumberFormat="1" applyFont="1" applyAlignment="1" applyProtection="1">
      <alignment horizontal="left" indent="1"/>
    </xf>
    <xf numFmtId="166" fontId="38" fillId="0" borderId="65" xfId="0" applyNumberFormat="1" applyFont="1" applyBorder="1" applyProtection="1"/>
    <xf numFmtId="0" fontId="38" fillId="50" borderId="60" xfId="0" applyFont="1" applyFill="1" applyBorder="1" applyAlignment="1" applyProtection="1">
      <alignment horizontal="centerContinuous"/>
    </xf>
    <xf numFmtId="0" fontId="38" fillId="0" borderId="0" xfId="0" quotePrefix="1" applyFont="1" applyBorder="1" applyAlignment="1" applyProtection="1">
      <alignment horizontal="center"/>
    </xf>
    <xf numFmtId="0" fontId="38" fillId="0" borderId="65" xfId="0" quotePrefix="1" applyFont="1" applyBorder="1" applyAlignment="1" applyProtection="1">
      <alignment horizontal="center"/>
    </xf>
    <xf numFmtId="0" fontId="37" fillId="0" borderId="0" xfId="0" applyFont="1" applyBorder="1" applyAlignment="1" applyProtection="1">
      <alignment horizontal="centerContinuous"/>
    </xf>
    <xf numFmtId="0" fontId="38" fillId="0" borderId="62" xfId="0" applyFont="1" applyBorder="1" applyAlignment="1" applyProtection="1">
      <alignment horizontal="centerContinuous"/>
    </xf>
    <xf numFmtId="166" fontId="38" fillId="0" borderId="66" xfId="0" applyNumberFormat="1" applyFont="1" applyBorder="1" applyProtection="1"/>
    <xf numFmtId="0" fontId="37" fillId="50" borderId="59" xfId="0" applyFont="1" applyFill="1" applyBorder="1" applyProtection="1"/>
    <xf numFmtId="0" fontId="38" fillId="50" borderId="60" xfId="0" applyFont="1" applyFill="1" applyBorder="1" applyProtection="1"/>
    <xf numFmtId="0" fontId="49" fillId="0" borderId="62" xfId="0" applyFont="1" applyBorder="1" applyAlignment="1" applyProtection="1">
      <alignment horizontal="center"/>
    </xf>
    <xf numFmtId="167" fontId="49" fillId="0" borderId="0" xfId="57" applyNumberFormat="1" applyFont="1" applyBorder="1" applyAlignment="1" applyProtection="1">
      <alignment horizontal="center"/>
    </xf>
    <xf numFmtId="0" fontId="49" fillId="0" borderId="0" xfId="0" applyFont="1" applyBorder="1" applyAlignment="1" applyProtection="1">
      <alignment horizontal="center"/>
    </xf>
    <xf numFmtId="0" fontId="49" fillId="24" borderId="93" xfId="0" applyFont="1" applyFill="1" applyBorder="1" applyProtection="1"/>
    <xf numFmtId="0" fontId="49" fillId="0" borderId="63" xfId="0" applyFont="1" applyBorder="1" applyProtection="1"/>
    <xf numFmtId="0" fontId="49" fillId="0" borderId="64" xfId="0" applyFont="1" applyBorder="1" applyAlignment="1" applyProtection="1">
      <alignment horizontal="center"/>
    </xf>
    <xf numFmtId="167" fontId="49" fillId="0" borderId="65" xfId="57" applyNumberFormat="1" applyFont="1" applyBorder="1" applyAlignment="1" applyProtection="1">
      <alignment horizontal="center"/>
    </xf>
    <xf numFmtId="0" fontId="49" fillId="0" borderId="65" xfId="0" applyFont="1" applyBorder="1" applyAlignment="1" applyProtection="1">
      <alignment horizontal="center"/>
    </xf>
    <xf numFmtId="0" fontId="49" fillId="0" borderId="0" xfId="0" applyFont="1" applyProtection="1"/>
    <xf numFmtId="0" fontId="38" fillId="0" borderId="59" xfId="0" applyFont="1" applyBorder="1" applyProtection="1"/>
    <xf numFmtId="0" fontId="49" fillId="0" borderId="60" xfId="0" applyFont="1" applyBorder="1" applyAlignment="1" applyProtection="1">
      <alignment horizontal="center"/>
    </xf>
    <xf numFmtId="0" fontId="49" fillId="0" borderId="61" xfId="0" applyFont="1" applyBorder="1" applyAlignment="1" applyProtection="1">
      <alignment horizontal="center"/>
    </xf>
    <xf numFmtId="0" fontId="50" fillId="50" borderId="59" xfId="0" applyFont="1" applyFill="1" applyBorder="1" applyProtection="1"/>
    <xf numFmtId="0" fontId="49" fillId="0" borderId="63" xfId="0" applyFont="1" applyBorder="1" applyAlignment="1" applyProtection="1">
      <alignment horizontal="center"/>
    </xf>
    <xf numFmtId="0" fontId="49" fillId="0" borderId="62" xfId="0" applyFont="1" applyBorder="1" applyProtection="1"/>
    <xf numFmtId="0" fontId="49" fillId="0" borderId="0" xfId="0" applyFont="1" applyBorder="1" applyProtection="1"/>
    <xf numFmtId="10" fontId="49" fillId="0" borderId="0" xfId="57" applyNumberFormat="1" applyFont="1" applyBorder="1" applyProtection="1"/>
    <xf numFmtId="167" fontId="49" fillId="0" borderId="0" xfId="57" applyNumberFormat="1" applyFont="1" applyBorder="1" applyProtection="1"/>
    <xf numFmtId="167" fontId="49" fillId="0" borderId="63" xfId="0" applyNumberFormat="1" applyFont="1" applyBorder="1" applyProtection="1"/>
    <xf numFmtId="0" fontId="38" fillId="0" borderId="62" xfId="0" applyFont="1" applyBorder="1"/>
    <xf numFmtId="0" fontId="38" fillId="0" borderId="63" xfId="0" applyFont="1" applyBorder="1"/>
    <xf numFmtId="0" fontId="38" fillId="0" borderId="0" xfId="0" applyFont="1" applyFill="1"/>
    <xf numFmtId="10" fontId="50" fillId="0" borderId="0" xfId="57" applyNumberFormat="1" applyFont="1" applyBorder="1" applyProtection="1"/>
    <xf numFmtId="167" fontId="50" fillId="0" borderId="0" xfId="57" applyNumberFormat="1" applyFont="1" applyBorder="1" applyProtection="1"/>
    <xf numFmtId="167" fontId="50" fillId="0" borderId="63" xfId="57" applyNumberFormat="1" applyFont="1" applyBorder="1" applyProtection="1"/>
    <xf numFmtId="0" fontId="38" fillId="0" borderId="0" xfId="0" applyFont="1" applyFill="1" applyBorder="1"/>
    <xf numFmtId="10" fontId="51" fillId="0" borderId="0" xfId="57" applyNumberFormat="1" applyFont="1" applyBorder="1" applyProtection="1"/>
    <xf numFmtId="167" fontId="51" fillId="0" borderId="0" xfId="57" applyNumberFormat="1" applyFont="1" applyBorder="1" applyProtection="1"/>
    <xf numFmtId="0" fontId="39" fillId="0" borderId="0" xfId="57" applyNumberFormat="1" applyFont="1" applyFill="1" applyBorder="1" applyProtection="1">
      <protection locked="0"/>
    </xf>
    <xf numFmtId="10" fontId="39" fillId="0" borderId="0" xfId="57" applyNumberFormat="1" applyFont="1" applyFill="1" applyBorder="1" applyProtection="1">
      <protection locked="0"/>
    </xf>
    <xf numFmtId="10" fontId="49" fillId="0" borderId="62" xfId="0" applyNumberFormat="1" applyFont="1" applyBorder="1" applyProtection="1"/>
    <xf numFmtId="0" fontId="49" fillId="0" borderId="64" xfId="0" applyFont="1" applyBorder="1" applyProtection="1"/>
    <xf numFmtId="0" fontId="49" fillId="0" borderId="65" xfId="0" applyFont="1" applyBorder="1" applyProtection="1"/>
    <xf numFmtId="10" fontId="49" fillId="0" borderId="65" xfId="57" applyNumberFormat="1" applyFont="1" applyBorder="1" applyProtection="1"/>
    <xf numFmtId="167" fontId="49" fillId="0" borderId="65" xfId="57" applyNumberFormat="1" applyFont="1" applyBorder="1" applyProtection="1"/>
    <xf numFmtId="167" fontId="49" fillId="0" borderId="66" xfId="0" applyNumberFormat="1" applyFont="1" applyBorder="1" applyProtection="1"/>
    <xf numFmtId="9" fontId="38" fillId="0" borderId="63" xfId="57" applyFont="1" applyBorder="1" applyProtection="1"/>
    <xf numFmtId="9" fontId="38" fillId="0" borderId="63" xfId="57" applyFont="1" applyFill="1" applyBorder="1" applyProtection="1"/>
    <xf numFmtId="9" fontId="38" fillId="0" borderId="66" xfId="57" applyFont="1" applyFill="1" applyBorder="1" applyProtection="1"/>
    <xf numFmtId="0" fontId="38" fillId="0" borderId="64" xfId="0" applyFont="1" applyBorder="1"/>
    <xf numFmtId="0" fontId="38" fillId="0" borderId="66" xfId="0" applyFont="1" applyBorder="1"/>
    <xf numFmtId="11" fontId="25" fillId="35" borderId="0" xfId="0" applyNumberFormat="1" applyFont="1" applyFill="1" applyBorder="1" applyProtection="1"/>
    <xf numFmtId="0" fontId="25" fillId="40" borderId="0" xfId="0" applyFont="1" applyFill="1" applyBorder="1" applyAlignment="1" applyProtection="1">
      <alignment horizontal="right"/>
    </xf>
    <xf numFmtId="0" fontId="0" fillId="53" borderId="0" xfId="0" applyFont="1" applyFill="1" applyBorder="1" applyProtection="1"/>
    <xf numFmtId="0" fontId="18" fillId="53" borderId="0" xfId="0" applyFont="1" applyFill="1" applyBorder="1" applyProtection="1"/>
    <xf numFmtId="11" fontId="33" fillId="53" borderId="0" xfId="0" applyNumberFormat="1" applyFont="1" applyFill="1" applyAlignment="1" applyProtection="1">
      <alignment horizontal="right" vertical="center"/>
    </xf>
    <xf numFmtId="11" fontId="33" fillId="53" borderId="0" xfId="0" applyNumberFormat="1" applyFont="1" applyFill="1" applyAlignment="1" applyProtection="1">
      <alignment horizontal="right"/>
    </xf>
    <xf numFmtId="0" fontId="33" fillId="53" borderId="0" xfId="0" applyFont="1" applyFill="1" applyAlignment="1" applyProtection="1">
      <alignment horizontal="right" vertical="center"/>
    </xf>
    <xf numFmtId="0" fontId="33" fillId="53" borderId="0" xfId="0" applyFont="1" applyFill="1" applyAlignment="1" applyProtection="1">
      <alignment horizontal="right"/>
    </xf>
    <xf numFmtId="0" fontId="33" fillId="53" borderId="0" xfId="0" applyFont="1" applyFill="1" applyAlignment="1">
      <alignment horizontal="right"/>
    </xf>
    <xf numFmtId="0" fontId="33" fillId="53" borderId="0" xfId="0" applyFont="1" applyFill="1" applyBorder="1" applyProtection="1"/>
    <xf numFmtId="0" fontId="52" fillId="53" borderId="0" xfId="0" applyFont="1" applyFill="1" applyProtection="1"/>
    <xf numFmtId="0" fontId="52" fillId="53" borderId="0" xfId="0" applyFont="1" applyFill="1" applyAlignment="1" applyProtection="1">
      <alignment horizontal="center" vertical="center"/>
    </xf>
    <xf numFmtId="0" fontId="52" fillId="53" borderId="0" xfId="0" applyNumberFormat="1" applyFont="1" applyFill="1" applyProtection="1"/>
    <xf numFmtId="11" fontId="52" fillId="53" borderId="0" xfId="0" applyNumberFormat="1" applyFont="1" applyFill="1" applyProtection="1"/>
    <xf numFmtId="0" fontId="53" fillId="53" borderId="0" xfId="0" applyFont="1" applyFill="1" applyBorder="1" applyProtection="1"/>
    <xf numFmtId="11" fontId="53" fillId="53" borderId="0" xfId="0" applyNumberFormat="1" applyFont="1" applyFill="1" applyAlignment="1" applyProtection="1">
      <alignment horizontal="right" vertical="center"/>
    </xf>
    <xf numFmtId="11" fontId="53" fillId="53" borderId="0" xfId="0" applyNumberFormat="1" applyFont="1" applyFill="1" applyAlignment="1" applyProtection="1">
      <alignment horizontal="right"/>
    </xf>
    <xf numFmtId="0" fontId="53" fillId="53" borderId="0" xfId="0" applyFont="1" applyFill="1" applyAlignment="1" applyProtection="1">
      <alignment horizontal="right" vertical="center"/>
    </xf>
    <xf numFmtId="0" fontId="53" fillId="53" borderId="0" xfId="0" applyFont="1" applyFill="1" applyAlignment="1" applyProtection="1">
      <alignment horizontal="right"/>
    </xf>
    <xf numFmtId="0" fontId="53" fillId="53" borderId="0" xfId="0" applyFont="1" applyFill="1" applyAlignment="1">
      <alignment horizontal="right"/>
    </xf>
    <xf numFmtId="0" fontId="54" fillId="53" borderId="0" xfId="0" applyFont="1" applyFill="1" applyProtection="1"/>
    <xf numFmtId="0" fontId="54" fillId="53" borderId="0" xfId="0" applyFont="1" applyFill="1" applyAlignment="1" applyProtection="1">
      <alignment horizontal="center" vertical="center"/>
    </xf>
    <xf numFmtId="0" fontId="54" fillId="53" borderId="0" xfId="0" applyNumberFormat="1" applyFont="1" applyFill="1" applyProtection="1"/>
    <xf numFmtId="11" fontId="54" fillId="53" borderId="0" xfId="0" applyNumberFormat="1" applyFont="1" applyFill="1" applyProtection="1"/>
    <xf numFmtId="0" fontId="55" fillId="54" borderId="0" xfId="0" applyFont="1" applyFill="1"/>
    <xf numFmtId="0" fontId="56" fillId="55" borderId="94" xfId="52" quotePrefix="1" applyFont="1" applyFill="1" applyBorder="1" applyAlignment="1">
      <alignment horizontal="center" vertical="center"/>
    </xf>
    <xf numFmtId="0" fontId="56" fillId="55" borderId="95" xfId="52" applyFont="1" applyFill="1" applyBorder="1" applyAlignment="1">
      <alignment horizontal="center" vertical="center"/>
    </xf>
    <xf numFmtId="0" fontId="56" fillId="55" borderId="96" xfId="52" applyFont="1" applyFill="1" applyBorder="1" applyAlignment="1">
      <alignment horizontal="center" vertical="center"/>
    </xf>
    <xf numFmtId="0" fontId="57" fillId="56" borderId="97" xfId="0" applyFont="1" applyFill="1" applyBorder="1" applyAlignment="1">
      <alignment horizontal="center" vertical="center"/>
    </xf>
    <xf numFmtId="0" fontId="57" fillId="26" borderId="98" xfId="0" applyFont="1" applyFill="1" applyBorder="1" applyAlignment="1">
      <alignment horizontal="center" vertical="center"/>
    </xf>
    <xf numFmtId="0" fontId="18" fillId="26" borderId="98" xfId="0" applyFont="1" applyFill="1" applyBorder="1" applyAlignment="1">
      <alignment horizontal="center" vertical="center"/>
    </xf>
    <xf numFmtId="0" fontId="58" fillId="26" borderId="98" xfId="0" applyFont="1" applyFill="1" applyBorder="1" applyAlignment="1">
      <alignment horizontal="center" vertical="center"/>
    </xf>
    <xf numFmtId="0" fontId="59" fillId="26" borderId="98" xfId="0" applyFont="1" applyFill="1" applyBorder="1" applyAlignment="1">
      <alignment horizontal="center" vertical="center"/>
    </xf>
    <xf numFmtId="0" fontId="58" fillId="26" borderId="99" xfId="0" applyFont="1" applyFill="1" applyBorder="1" applyAlignment="1">
      <alignment horizontal="center" vertical="center"/>
    </xf>
    <xf numFmtId="0" fontId="57" fillId="56" borderId="100" xfId="0" applyFont="1" applyFill="1" applyBorder="1" applyAlignment="1">
      <alignment horizontal="center" vertical="center"/>
    </xf>
    <xf numFmtId="0" fontId="57" fillId="26" borderId="101" xfId="0" applyFont="1" applyFill="1" applyBorder="1" applyAlignment="1">
      <alignment horizontal="center" vertical="center"/>
    </xf>
    <xf numFmtId="0" fontId="18" fillId="26" borderId="101" xfId="0" applyFont="1" applyFill="1" applyBorder="1" applyAlignment="1">
      <alignment horizontal="center" vertical="center"/>
    </xf>
    <xf numFmtId="0" fontId="58" fillId="26" borderId="101" xfId="0" applyFont="1" applyFill="1" applyBorder="1" applyAlignment="1">
      <alignment horizontal="center" vertical="center"/>
    </xf>
    <xf numFmtId="0" fontId="59" fillId="26" borderId="101" xfId="0" applyFont="1" applyFill="1" applyBorder="1" applyAlignment="1">
      <alignment horizontal="center" vertical="center"/>
    </xf>
    <xf numFmtId="0" fontId="58" fillId="26" borderId="102" xfId="0" applyFont="1" applyFill="1" applyBorder="1" applyAlignment="1">
      <alignment horizontal="center" vertical="center"/>
    </xf>
    <xf numFmtId="10" fontId="26" fillId="48" borderId="10" xfId="0" applyNumberFormat="1" applyFont="1" applyFill="1" applyBorder="1" applyProtection="1">
      <protection locked="0"/>
    </xf>
    <xf numFmtId="0" fontId="60" fillId="50" borderId="103" xfId="0" applyFont="1" applyFill="1" applyBorder="1" applyAlignment="1">
      <alignment horizontal="center"/>
    </xf>
    <xf numFmtId="0" fontId="60" fillId="50" borderId="104" xfId="0" applyFont="1" applyFill="1" applyBorder="1" applyAlignment="1">
      <alignment horizontal="center"/>
    </xf>
    <xf numFmtId="0" fontId="25" fillId="46" borderId="22" xfId="0" applyFont="1" applyFill="1" applyBorder="1" applyAlignment="1" applyProtection="1">
      <alignment horizontal="center" vertical="center"/>
    </xf>
    <xf numFmtId="0" fontId="0" fillId="46" borderId="0" xfId="0" applyFont="1" applyFill="1" applyBorder="1" applyAlignment="1">
      <alignment horizontal="center" vertical="center"/>
    </xf>
    <xf numFmtId="0" fontId="0" fillId="46" borderId="23" xfId="0" applyFont="1" applyFill="1" applyBorder="1" applyAlignment="1">
      <alignment horizontal="center" vertical="center"/>
    </xf>
    <xf numFmtId="0" fontId="25" fillId="43" borderId="14" xfId="0" applyFont="1" applyFill="1" applyBorder="1" applyAlignment="1" applyProtection="1">
      <alignment horizontal="center" vertical="center"/>
    </xf>
    <xf numFmtId="0" fontId="0" fillId="43" borderId="0" xfId="0" applyFont="1" applyFill="1" applyBorder="1" applyAlignment="1">
      <alignment horizontal="center" vertical="center"/>
    </xf>
    <xf numFmtId="0" fontId="0" fillId="43" borderId="15" xfId="0" applyFont="1" applyFill="1" applyBorder="1" applyAlignment="1">
      <alignment horizontal="center" vertical="center"/>
    </xf>
    <xf numFmtId="166" fontId="26" fillId="48" borderId="105" xfId="0" applyNumberFormat="1" applyFont="1" applyFill="1" applyBorder="1" applyProtection="1">
      <protection locked="0"/>
    </xf>
    <xf numFmtId="11" fontId="25" fillId="33" borderId="0" xfId="0" applyNumberFormat="1" applyFont="1" applyFill="1" applyBorder="1" applyProtection="1"/>
    <xf numFmtId="11" fontId="25" fillId="33" borderId="41" xfId="0" applyNumberFormat="1" applyFont="1" applyFill="1" applyBorder="1" applyProtection="1"/>
    <xf numFmtId="11" fontId="18" fillId="26" borderId="0" xfId="0" applyNumberFormat="1" applyFont="1" applyFill="1" applyBorder="1" applyProtection="1"/>
    <xf numFmtId="0" fontId="0" fillId="31" borderId="47" xfId="0" applyFont="1" applyFill="1" applyBorder="1" applyProtection="1"/>
    <xf numFmtId="0" fontId="0" fillId="31" borderId="50" xfId="0" applyFont="1" applyFill="1" applyBorder="1" applyProtection="1"/>
    <xf numFmtId="172" fontId="25" fillId="31" borderId="0" xfId="0" applyNumberFormat="1" applyFont="1" applyFill="1" applyBorder="1" applyProtection="1"/>
    <xf numFmtId="172" fontId="25" fillId="31" borderId="49" xfId="0" applyNumberFormat="1" applyFont="1" applyFill="1" applyBorder="1" applyProtection="1"/>
    <xf numFmtId="0" fontId="0" fillId="35" borderId="18" xfId="0" applyFont="1" applyFill="1" applyBorder="1" applyProtection="1"/>
    <xf numFmtId="0" fontId="4" fillId="53" borderId="0" xfId="0" applyFont="1" applyFill="1" applyProtection="1"/>
    <xf numFmtId="0" fontId="53" fillId="27" borderId="0" xfId="0" applyFont="1" applyFill="1" applyBorder="1" applyProtection="1"/>
    <xf numFmtId="0" fontId="24" fillId="33" borderId="106" xfId="0" applyFont="1" applyFill="1" applyBorder="1" applyAlignment="1">
      <alignment horizontal="center" vertical="center"/>
    </xf>
    <xf numFmtId="0" fontId="24" fillId="33" borderId="107" xfId="0" applyFont="1" applyFill="1" applyBorder="1" applyAlignment="1">
      <alignment horizontal="center" vertical="center"/>
    </xf>
    <xf numFmtId="0" fontId="24" fillId="33" borderId="108" xfId="0" applyFont="1" applyFill="1" applyBorder="1" applyAlignment="1">
      <alignment horizontal="center" vertical="center"/>
    </xf>
    <xf numFmtId="0" fontId="24" fillId="33" borderId="109" xfId="0" applyFont="1" applyFill="1" applyBorder="1" applyAlignment="1">
      <alignment horizontal="center" vertical="center"/>
    </xf>
    <xf numFmtId="0" fontId="24" fillId="33" borderId="110" xfId="0" applyFont="1" applyFill="1" applyBorder="1" applyAlignment="1">
      <alignment horizontal="center" vertical="center"/>
    </xf>
    <xf numFmtId="0" fontId="24" fillId="52" borderId="0" xfId="0" applyFont="1" applyFill="1" applyBorder="1" applyAlignment="1">
      <alignment horizontal="center" vertical="center"/>
    </xf>
    <xf numFmtId="0" fontId="61" fillId="33" borderId="0" xfId="0" applyFont="1" applyFill="1" applyBorder="1" applyAlignment="1">
      <alignment horizontal="center" vertical="center"/>
    </xf>
    <xf numFmtId="0" fontId="53" fillId="27" borderId="0" xfId="0" applyFont="1" applyFill="1" applyBorder="1" applyAlignment="1" applyProtection="1">
      <alignment horizontal="center"/>
    </xf>
    <xf numFmtId="0" fontId="64" fillId="26" borderId="0" xfId="85" applyFont="1" applyFill="1" applyAlignment="1">
      <alignment vertical="center" wrapText="1"/>
    </xf>
    <xf numFmtId="0" fontId="64" fillId="0" borderId="0" xfId="85" applyFont="1" applyFill="1" applyAlignment="1">
      <alignment vertical="center" wrapText="1"/>
    </xf>
    <xf numFmtId="0" fontId="65" fillId="0" borderId="0" xfId="85" applyFont="1" applyAlignment="1">
      <alignment horizontal="left" vertical="center"/>
    </xf>
    <xf numFmtId="0" fontId="66" fillId="57" borderId="0" xfId="85" applyFont="1" applyFill="1" applyAlignment="1">
      <alignment horizontal="left" vertical="center"/>
    </xf>
    <xf numFmtId="0" fontId="65" fillId="26" borderId="0" xfId="85" applyFont="1" applyFill="1" applyAlignment="1">
      <alignment horizontal="left" vertical="center"/>
    </xf>
    <xf numFmtId="0" fontId="65" fillId="58" borderId="117" xfId="85" applyFont="1" applyFill="1" applyBorder="1" applyAlignment="1">
      <alignment horizontal="left" vertical="center"/>
    </xf>
    <xf numFmtId="0" fontId="65" fillId="26" borderId="117" xfId="85" applyFont="1" applyFill="1" applyBorder="1" applyAlignment="1">
      <alignment horizontal="left" vertical="center"/>
    </xf>
    <xf numFmtId="0" fontId="25" fillId="47" borderId="0" xfId="0" applyFont="1" applyFill="1" applyBorder="1" applyAlignment="1" applyProtection="1">
      <alignment horizontal="center" vertical="center"/>
    </xf>
    <xf numFmtId="0" fontId="25" fillId="47" borderId="30" xfId="0" applyFont="1" applyFill="1" applyBorder="1" applyAlignment="1" applyProtection="1">
      <alignment horizontal="center" vertical="center"/>
    </xf>
    <xf numFmtId="0" fontId="25" fillId="47" borderId="31" xfId="0" applyFont="1" applyFill="1" applyBorder="1" applyAlignment="1" applyProtection="1">
      <alignment horizontal="center" vertical="center"/>
    </xf>
    <xf numFmtId="0" fontId="68" fillId="0" borderId="0" xfId="86" applyFont="1"/>
    <xf numFmtId="0" fontId="67" fillId="0" borderId="0" xfId="86"/>
    <xf numFmtId="0" fontId="67" fillId="0" borderId="0" xfId="87"/>
    <xf numFmtId="0" fontId="67" fillId="59" borderId="0" xfId="86" applyFill="1"/>
    <xf numFmtId="0" fontId="69" fillId="0" borderId="0" xfId="88"/>
    <xf numFmtId="2" fontId="25" fillId="32" borderId="0" xfId="0" applyNumberFormat="1" applyFont="1" applyFill="1" applyBorder="1" applyAlignment="1" applyProtection="1">
      <alignment horizontal="center"/>
    </xf>
    <xf numFmtId="0" fontId="1" fillId="26" borderId="0" xfId="91" applyFill="1"/>
    <xf numFmtId="0" fontId="70" fillId="26" borderId="0" xfId="91" applyFont="1" applyFill="1"/>
    <xf numFmtId="0" fontId="1" fillId="26" borderId="0" xfId="91" applyFont="1" applyFill="1"/>
    <xf numFmtId="0" fontId="1" fillId="26" borderId="0" xfId="91" applyFont="1" applyFill="1" applyAlignment="1"/>
    <xf numFmtId="0" fontId="63" fillId="26" borderId="0" xfId="91" applyFont="1" applyFill="1"/>
    <xf numFmtId="0" fontId="71" fillId="26" borderId="0" xfId="91" applyFont="1" applyFill="1"/>
    <xf numFmtId="0" fontId="72" fillId="35" borderId="118" xfId="91" applyFont="1" applyFill="1" applyBorder="1" applyAlignment="1">
      <alignment horizontal="center" vertical="center" wrapText="1"/>
    </xf>
    <xf numFmtId="0" fontId="1" fillId="60" borderId="60" xfId="91" applyFont="1" applyFill="1" applyBorder="1" applyAlignment="1">
      <alignment horizontal="center"/>
    </xf>
    <xf numFmtId="0" fontId="1" fillId="60" borderId="60" xfId="91" applyFill="1" applyBorder="1" applyAlignment="1">
      <alignment horizontal="center"/>
    </xf>
    <xf numFmtId="0" fontId="1" fillId="60" borderId="61" xfId="91" applyFill="1" applyBorder="1" applyAlignment="1">
      <alignment horizontal="center"/>
    </xf>
    <xf numFmtId="0" fontId="1" fillId="61" borderId="118" xfId="91" applyFill="1" applyBorder="1"/>
    <xf numFmtId="0" fontId="1" fillId="61" borderId="68" xfId="91" applyFill="1" applyBorder="1"/>
    <xf numFmtId="0" fontId="1" fillId="61" borderId="69" xfId="91" applyFill="1" applyBorder="1"/>
    <xf numFmtId="0" fontId="1" fillId="35" borderId="118" xfId="91" applyFont="1" applyFill="1" applyBorder="1" applyAlignment="1">
      <alignment wrapText="1"/>
    </xf>
    <xf numFmtId="0" fontId="1" fillId="35" borderId="60" xfId="91" applyFill="1" applyBorder="1" applyAlignment="1">
      <alignment horizontal="center" textRotation="90"/>
    </xf>
    <xf numFmtId="0" fontId="63" fillId="35" borderId="118" xfId="91" applyFont="1" applyFill="1" applyBorder="1" applyAlignment="1">
      <alignment horizontal="center" textRotation="90"/>
    </xf>
    <xf numFmtId="0" fontId="1" fillId="35" borderId="119" xfId="91" applyFill="1" applyBorder="1" applyAlignment="1">
      <alignment horizontal="center" vertical="center" wrapText="1"/>
    </xf>
    <xf numFmtId="0" fontId="1" fillId="35" borderId="120" xfId="91" applyFill="1" applyBorder="1"/>
    <xf numFmtId="0" fontId="63" fillId="35" borderId="62" xfId="91" applyFont="1" applyFill="1" applyBorder="1"/>
    <xf numFmtId="0" fontId="1" fillId="62" borderId="70" xfId="91" applyFill="1" applyBorder="1" applyAlignment="1">
      <alignment horizontal="center" vertical="center"/>
    </xf>
    <xf numFmtId="0" fontId="1" fillId="63" borderId="121" xfId="91" applyFill="1" applyBorder="1" applyAlignment="1">
      <alignment horizontal="center" vertical="center"/>
    </xf>
    <xf numFmtId="0" fontId="1" fillId="63" borderId="122" xfId="91" applyFill="1" applyBorder="1" applyAlignment="1">
      <alignment horizontal="center" vertical="center"/>
    </xf>
    <xf numFmtId="0" fontId="1" fillId="35" borderId="61" xfId="91" applyFill="1" applyBorder="1" applyAlignment="1">
      <alignment horizontal="center" vertical="center"/>
    </xf>
    <xf numFmtId="2" fontId="1" fillId="35" borderId="119" xfId="91" applyNumberFormat="1" applyFill="1" applyBorder="1" applyAlignment="1">
      <alignment horizontal="center" vertical="center"/>
    </xf>
    <xf numFmtId="2" fontId="1" fillId="26" borderId="0" xfId="91" applyNumberFormat="1" applyFill="1"/>
    <xf numFmtId="0" fontId="1" fillId="63" borderId="123" xfId="91" applyFill="1" applyBorder="1" applyAlignment="1">
      <alignment horizontal="center" vertical="center"/>
    </xf>
    <xf numFmtId="0" fontId="1" fillId="62" borderId="10" xfId="91" applyFill="1" applyBorder="1" applyAlignment="1">
      <alignment horizontal="center" vertical="center"/>
    </xf>
    <xf numFmtId="0" fontId="1" fillId="63" borderId="10" xfId="91" applyFill="1" applyBorder="1" applyAlignment="1">
      <alignment horizontal="center" vertical="center"/>
    </xf>
    <xf numFmtId="0" fontId="1" fillId="63" borderId="93" xfId="91" applyFill="1" applyBorder="1" applyAlignment="1">
      <alignment horizontal="center" vertical="center"/>
    </xf>
    <xf numFmtId="0" fontId="1" fillId="35" borderId="63" xfId="91" applyFill="1" applyBorder="1" applyAlignment="1">
      <alignment horizontal="center" vertical="center"/>
    </xf>
    <xf numFmtId="2" fontId="1" fillId="35" borderId="120" xfId="91" applyNumberFormat="1" applyFill="1" applyBorder="1" applyAlignment="1">
      <alignment horizontal="center" vertical="center"/>
    </xf>
    <xf numFmtId="0" fontId="1" fillId="35" borderId="124" xfId="91" applyFill="1" applyBorder="1"/>
    <xf numFmtId="0" fontId="63" fillId="35" borderId="64" xfId="91" applyFont="1" applyFill="1" applyBorder="1"/>
    <xf numFmtId="0" fontId="1" fillId="63" borderId="125" xfId="91" applyFill="1" applyBorder="1" applyAlignment="1">
      <alignment horizontal="center" vertical="center"/>
    </xf>
    <xf numFmtId="0" fontId="1" fillId="63" borderId="84" xfId="91" applyFill="1" applyBorder="1" applyAlignment="1">
      <alignment horizontal="center" vertical="center"/>
    </xf>
    <xf numFmtId="0" fontId="1" fillId="62" borderId="85" xfId="91" applyFill="1" applyBorder="1" applyAlignment="1">
      <alignment horizontal="center" vertical="center"/>
    </xf>
    <xf numFmtId="0" fontId="1" fillId="35" borderId="66" xfId="91" applyFill="1" applyBorder="1" applyAlignment="1">
      <alignment horizontal="center" vertical="center"/>
    </xf>
    <xf numFmtId="2" fontId="1" fillId="35" borderId="124" xfId="91" applyNumberFormat="1" applyFill="1" applyBorder="1" applyAlignment="1">
      <alignment horizontal="center" vertical="center"/>
    </xf>
    <xf numFmtId="0" fontId="63" fillId="35" borderId="59" xfId="91" applyFont="1" applyFill="1" applyBorder="1" applyAlignment="1">
      <alignment horizontal="center" textRotation="90"/>
    </xf>
    <xf numFmtId="0" fontId="63" fillId="35" borderId="60" xfId="91" applyFont="1" applyFill="1" applyBorder="1" applyAlignment="1">
      <alignment horizontal="center" textRotation="90"/>
    </xf>
    <xf numFmtId="0" fontId="1" fillId="60" borderId="126" xfId="91" applyFill="1" applyBorder="1" applyAlignment="1">
      <alignment horizontal="center" textRotation="90"/>
    </xf>
    <xf numFmtId="0" fontId="1" fillId="60" borderId="103" xfId="91" applyFill="1" applyBorder="1" applyAlignment="1">
      <alignment horizontal="center" textRotation="90"/>
    </xf>
    <xf numFmtId="0" fontId="1" fillId="60" borderId="104" xfId="91" applyFill="1" applyBorder="1" applyAlignment="1">
      <alignment horizontal="center" textRotation="90"/>
    </xf>
    <xf numFmtId="0" fontId="1" fillId="60" borderId="127" xfId="91" applyFill="1" applyBorder="1" applyAlignment="1">
      <alignment horizontal="center" vertical="center"/>
    </xf>
    <xf numFmtId="0" fontId="1" fillId="60" borderId="105" xfId="91" applyFill="1" applyBorder="1" applyAlignment="1">
      <alignment horizontal="center" vertical="center"/>
    </xf>
    <xf numFmtId="0" fontId="1" fillId="60" borderId="128" xfId="91" applyFill="1" applyBorder="1" applyAlignment="1">
      <alignment horizontal="center" vertical="center"/>
    </xf>
    <xf numFmtId="0" fontId="1" fillId="60" borderId="123" xfId="91" applyFill="1" applyBorder="1" applyAlignment="1">
      <alignment horizontal="center" vertical="center"/>
    </xf>
    <xf numFmtId="0" fontId="1" fillId="60" borderId="10" xfId="91" applyFill="1" applyBorder="1" applyAlignment="1">
      <alignment horizontal="center" vertical="center"/>
    </xf>
    <xf numFmtId="0" fontId="1" fillId="60" borderId="91" xfId="91" applyFill="1" applyBorder="1" applyAlignment="1">
      <alignment horizontal="center" vertical="center"/>
    </xf>
    <xf numFmtId="0" fontId="1" fillId="0" borderId="0" xfId="91"/>
    <xf numFmtId="0" fontId="1" fillId="60" borderId="0" xfId="91" applyFill="1" applyBorder="1" applyAlignment="1">
      <alignment horizontal="center" vertical="center"/>
    </xf>
    <xf numFmtId="0" fontId="1" fillId="60" borderId="125" xfId="91" applyFill="1" applyBorder="1" applyAlignment="1">
      <alignment horizontal="center" vertical="center"/>
    </xf>
    <xf numFmtId="0" fontId="1" fillId="60" borderId="84" xfId="91" applyFill="1" applyBorder="1" applyAlignment="1">
      <alignment horizontal="center" vertical="center"/>
    </xf>
    <xf numFmtId="0" fontId="1" fillId="60" borderId="129" xfId="91" applyFill="1" applyBorder="1" applyAlignment="1">
      <alignment horizontal="center" vertical="center"/>
    </xf>
    <xf numFmtId="0" fontId="63" fillId="35" borderId="118" xfId="91" applyFont="1" applyFill="1" applyBorder="1"/>
    <xf numFmtId="1" fontId="1" fillId="35" borderId="67" xfId="91" applyNumberFormat="1" applyFill="1" applyBorder="1" applyAlignment="1">
      <alignment horizontal="center" vertical="center"/>
    </xf>
    <xf numFmtId="1" fontId="1" fillId="35" borderId="68" xfId="91" applyNumberFormat="1" applyFill="1" applyBorder="1" applyAlignment="1">
      <alignment horizontal="center" vertical="center"/>
    </xf>
    <xf numFmtId="1" fontId="1" fillId="35" borderId="69" xfId="91" applyNumberFormat="1" applyFill="1" applyBorder="1" applyAlignment="1">
      <alignment horizontal="center" vertical="center"/>
    </xf>
    <xf numFmtId="0" fontId="1" fillId="35" borderId="63" xfId="91" applyFill="1" applyBorder="1"/>
    <xf numFmtId="0" fontId="63" fillId="35" borderId="124" xfId="91" applyFont="1" applyFill="1" applyBorder="1"/>
    <xf numFmtId="0" fontId="63" fillId="35" borderId="67" xfId="91" applyFont="1" applyFill="1" applyBorder="1" applyAlignment="1">
      <alignment horizontal="center" vertical="center"/>
    </xf>
    <xf numFmtId="0" fontId="63" fillId="35" borderId="68" xfId="91" applyFont="1" applyFill="1" applyBorder="1" applyAlignment="1">
      <alignment horizontal="center" vertical="center"/>
    </xf>
    <xf numFmtId="0" fontId="63" fillId="35" borderId="69" xfId="91" applyFont="1" applyFill="1" applyBorder="1" applyAlignment="1">
      <alignment horizontal="center" vertical="center"/>
    </xf>
    <xf numFmtId="0" fontId="1" fillId="35" borderId="66" xfId="91" applyFill="1" applyBorder="1"/>
    <xf numFmtId="0" fontId="63" fillId="26" borderId="59" xfId="91" applyFont="1" applyFill="1" applyBorder="1"/>
    <xf numFmtId="0" fontId="1" fillId="26" borderId="60" xfId="91" applyFill="1" applyBorder="1"/>
    <xf numFmtId="0" fontId="1" fillId="26" borderId="61" xfId="91" applyFill="1" applyBorder="1"/>
    <xf numFmtId="0" fontId="1" fillId="26" borderId="62" xfId="91" applyFont="1" applyFill="1" applyBorder="1"/>
    <xf numFmtId="0" fontId="1" fillId="26" borderId="0" xfId="91" applyFill="1" applyBorder="1"/>
    <xf numFmtId="0" fontId="1" fillId="26" borderId="63" xfId="91" applyFill="1" applyBorder="1"/>
    <xf numFmtId="0" fontId="1" fillId="26" borderId="64" xfId="91" applyFont="1" applyFill="1" applyBorder="1"/>
    <xf numFmtId="0" fontId="1" fillId="26" borderId="65" xfId="91" applyFill="1" applyBorder="1"/>
    <xf numFmtId="0" fontId="1" fillId="26" borderId="66" xfId="91" applyFill="1" applyBorder="1"/>
    <xf numFmtId="0" fontId="0" fillId="27" borderId="0" xfId="0" applyFill="1"/>
    <xf numFmtId="0" fontId="74" fillId="0" borderId="0" xfId="92" applyAlignment="1" applyProtection="1"/>
    <xf numFmtId="0" fontId="25" fillId="45" borderId="30" xfId="0" applyFont="1" applyFill="1" applyBorder="1" applyAlignment="1">
      <alignment vertical="center"/>
    </xf>
    <xf numFmtId="0" fontId="25" fillId="45" borderId="0" xfId="0" applyFont="1" applyFill="1" applyAlignment="1">
      <alignment vertical="center"/>
    </xf>
    <xf numFmtId="0" fontId="25" fillId="45" borderId="0" xfId="0" applyFont="1" applyFill="1" applyAlignment="1">
      <alignment horizontal="center" vertical="center"/>
    </xf>
    <xf numFmtId="0" fontId="25" fillId="45" borderId="0" xfId="0" applyFont="1" applyFill="1" applyAlignment="1">
      <alignment horizontal="center" vertical="center" wrapText="1"/>
    </xf>
    <xf numFmtId="0" fontId="0" fillId="40" borderId="30" xfId="0" applyFill="1" applyBorder="1"/>
    <xf numFmtId="0" fontId="0" fillId="40" borderId="0" xfId="0" applyFill="1"/>
    <xf numFmtId="0" fontId="25" fillId="40" borderId="0" xfId="0" applyFont="1" applyFill="1" applyAlignment="1">
      <alignment horizontal="center"/>
    </xf>
    <xf numFmtId="0" fontId="25" fillId="40" borderId="31" xfId="0" applyFont="1" applyFill="1" applyBorder="1" applyAlignment="1">
      <alignment horizontal="center"/>
    </xf>
    <xf numFmtId="0" fontId="0" fillId="40" borderId="30" xfId="0" applyFill="1" applyBorder="1" applyAlignment="1">
      <alignment horizontal="center"/>
    </xf>
    <xf numFmtId="0" fontId="0" fillId="40" borderId="0" xfId="0" applyFill="1" applyAlignment="1">
      <alignment horizontal="center"/>
    </xf>
    <xf numFmtId="2" fontId="25" fillId="40" borderId="0" xfId="0" applyNumberFormat="1" applyFont="1" applyFill="1" applyAlignment="1">
      <alignment horizontal="center"/>
    </xf>
    <xf numFmtId="165" fontId="25" fillId="40" borderId="0" xfId="0" applyNumberFormat="1" applyFont="1" applyFill="1" applyAlignment="1">
      <alignment horizontal="center"/>
    </xf>
    <xf numFmtId="0" fontId="0" fillId="40" borderId="32" xfId="0" applyFill="1" applyBorder="1"/>
    <xf numFmtId="0" fontId="0" fillId="40" borderId="33" xfId="0" applyFill="1" applyBorder="1"/>
    <xf numFmtId="2" fontId="25" fillId="40" borderId="33" xfId="0" applyNumberFormat="1" applyFont="1" applyFill="1" applyBorder="1" applyAlignment="1">
      <alignment horizontal="center"/>
    </xf>
    <xf numFmtId="0" fontId="25" fillId="40" borderId="34" xfId="0" applyFont="1" applyFill="1" applyBorder="1" applyAlignment="1">
      <alignment horizontal="center"/>
    </xf>
    <xf numFmtId="0" fontId="53" fillId="27" borderId="0" xfId="0" applyFont="1" applyFill="1"/>
    <xf numFmtId="0" fontId="25" fillId="45" borderId="31" xfId="0" applyFont="1" applyFill="1" applyBorder="1" applyAlignment="1">
      <alignment horizontal="center" vertical="center" wrapText="1"/>
    </xf>
    <xf numFmtId="2" fontId="0" fillId="40" borderId="0" xfId="0" applyNumberFormat="1" applyFill="1" applyAlignment="1">
      <alignment horizontal="center"/>
    </xf>
    <xf numFmtId="165" fontId="25" fillId="40" borderId="33" xfId="0" applyNumberFormat="1" applyFont="1" applyFill="1" applyBorder="1" applyAlignment="1">
      <alignment horizontal="center"/>
    </xf>
    <xf numFmtId="0" fontId="0" fillId="40" borderId="32" xfId="0" applyFill="1" applyBorder="1" applyAlignment="1">
      <alignment horizontal="center"/>
    </xf>
    <xf numFmtId="0" fontId="77" fillId="0" borderId="0" xfId="0" applyFont="1"/>
    <xf numFmtId="166" fontId="26" fillId="48" borderId="130" xfId="0" applyNumberFormat="1" applyFont="1" applyFill="1" applyBorder="1" applyProtection="1">
      <protection locked="0"/>
    </xf>
    <xf numFmtId="0" fontId="25" fillId="40" borderId="33" xfId="0" applyFont="1" applyFill="1" applyBorder="1" applyAlignment="1">
      <alignment horizontal="center"/>
    </xf>
    <xf numFmtId="166" fontId="25" fillId="40" borderId="0" xfId="0" applyNumberFormat="1" applyFont="1" applyFill="1" applyAlignment="1">
      <alignment horizontal="center"/>
    </xf>
    <xf numFmtId="11" fontId="25" fillId="40" borderId="0" xfId="0" applyNumberFormat="1" applyFont="1" applyFill="1" applyAlignment="1">
      <alignment horizontal="center"/>
    </xf>
    <xf numFmtId="166" fontId="0" fillId="0" borderId="0" xfId="0" applyNumberFormat="1"/>
    <xf numFmtId="9" fontId="0" fillId="0" borderId="0" xfId="0" applyNumberFormat="1"/>
    <xf numFmtId="166" fontId="25" fillId="0" borderId="0" xfId="0" applyNumberFormat="1" applyFont="1"/>
    <xf numFmtId="11" fontId="25" fillId="0" borderId="0" xfId="0" applyNumberFormat="1" applyFont="1"/>
    <xf numFmtId="0" fontId="25" fillId="0" borderId="0" xfId="0" applyFont="1"/>
    <xf numFmtId="0" fontId="0" fillId="0" borderId="0" xfId="0" applyAlignment="1">
      <alignment horizontal="left"/>
    </xf>
    <xf numFmtId="0" fontId="41" fillId="0" borderId="0" xfId="0" applyFont="1" applyAlignment="1">
      <alignment horizontal="left"/>
    </xf>
    <xf numFmtId="0" fontId="74" fillId="0" borderId="0" xfId="92" applyAlignment="1" applyProtection="1">
      <alignment wrapText="1"/>
    </xf>
    <xf numFmtId="0" fontId="28" fillId="0" borderId="0" xfId="0" applyFont="1" applyAlignment="1" applyProtection="1">
      <alignment horizontal="center"/>
    </xf>
    <xf numFmtId="0" fontId="0" fillId="0" borderId="0" xfId="0" applyAlignment="1"/>
    <xf numFmtId="0" fontId="36" fillId="36" borderId="43" xfId="0" applyFont="1" applyFill="1" applyBorder="1" applyAlignment="1" applyProtection="1">
      <alignment horizontal="center" vertical="center"/>
    </xf>
    <xf numFmtId="0" fontId="4" fillId="36" borderId="44" xfId="0" applyFont="1" applyFill="1" applyBorder="1" applyAlignment="1">
      <alignment horizontal="center" vertical="center"/>
    </xf>
    <xf numFmtId="0" fontId="4" fillId="36" borderId="45" xfId="0" applyFont="1" applyFill="1" applyBorder="1" applyAlignment="1">
      <alignment horizontal="center" vertical="center"/>
    </xf>
    <xf numFmtId="0" fontId="36" fillId="34" borderId="11" xfId="0" applyFont="1" applyFill="1" applyBorder="1" applyAlignment="1" applyProtection="1">
      <alignment horizontal="center" vertical="center"/>
    </xf>
    <xf numFmtId="0" fontId="4" fillId="34" borderId="12" xfId="0" applyFont="1" applyFill="1" applyBorder="1" applyAlignment="1">
      <alignment horizontal="center" vertical="center"/>
    </xf>
    <xf numFmtId="0" fontId="4" fillId="34" borderId="13" xfId="0" applyFont="1" applyFill="1" applyBorder="1" applyAlignment="1">
      <alignment horizontal="center" vertical="center"/>
    </xf>
    <xf numFmtId="0" fontId="36" fillId="29" borderId="35" xfId="0" applyFont="1" applyFill="1" applyBorder="1" applyAlignment="1" applyProtection="1">
      <alignment horizontal="center" vertical="center"/>
    </xf>
    <xf numFmtId="0" fontId="4" fillId="29" borderId="36" xfId="0" applyFont="1" applyFill="1" applyBorder="1" applyAlignment="1">
      <alignment horizontal="center" vertical="center"/>
    </xf>
    <xf numFmtId="0" fontId="4" fillId="29" borderId="37" xfId="0" applyFont="1" applyFill="1" applyBorder="1" applyAlignment="1">
      <alignment horizontal="center" vertical="center"/>
    </xf>
    <xf numFmtId="0" fontId="25" fillId="49" borderId="14" xfId="0" applyFont="1" applyFill="1" applyBorder="1" applyAlignment="1" applyProtection="1">
      <alignment horizontal="center" vertical="center"/>
    </xf>
    <xf numFmtId="0" fontId="25" fillId="49" borderId="0" xfId="0" applyFont="1" applyFill="1" applyBorder="1" applyAlignment="1" applyProtection="1">
      <alignment horizontal="center" vertical="center"/>
    </xf>
    <xf numFmtId="0" fontId="25" fillId="49" borderId="15" xfId="0" applyFont="1" applyFill="1" applyBorder="1" applyAlignment="1" applyProtection="1">
      <alignment horizontal="center" vertical="center"/>
    </xf>
    <xf numFmtId="0" fontId="25" fillId="44" borderId="38" xfId="0" applyFont="1" applyFill="1" applyBorder="1" applyAlignment="1" applyProtection="1">
      <alignment horizontal="center" vertical="center"/>
    </xf>
    <xf numFmtId="0" fontId="0" fillId="44" borderId="0" xfId="0" applyFont="1" applyFill="1" applyBorder="1" applyAlignment="1">
      <alignment horizontal="center" vertical="center"/>
    </xf>
    <xf numFmtId="0" fontId="0" fillId="44" borderId="39" xfId="0" applyFont="1" applyFill="1" applyBorder="1" applyAlignment="1">
      <alignment horizontal="center" vertical="center"/>
    </xf>
    <xf numFmtId="0" fontId="25" fillId="46" borderId="22" xfId="0" applyFont="1" applyFill="1" applyBorder="1" applyAlignment="1" applyProtection="1">
      <alignment horizontal="center" vertical="center"/>
    </xf>
    <xf numFmtId="0" fontId="0" fillId="46" borderId="0" xfId="0" applyFont="1" applyFill="1" applyBorder="1" applyAlignment="1">
      <alignment horizontal="center" vertical="center"/>
    </xf>
    <xf numFmtId="0" fontId="0" fillId="46" borderId="23" xfId="0" applyFont="1" applyFill="1" applyBorder="1" applyAlignment="1">
      <alignment horizontal="center" vertical="center"/>
    </xf>
    <xf numFmtId="0" fontId="25" fillId="45" borderId="30" xfId="0" applyFont="1" applyFill="1" applyBorder="1" applyAlignment="1" applyProtection="1">
      <alignment horizontal="center" vertical="center"/>
    </xf>
    <xf numFmtId="0" fontId="25" fillId="45" borderId="0" xfId="0" applyFont="1" applyFill="1" applyBorder="1" applyAlignment="1">
      <alignment horizontal="center" vertical="center"/>
    </xf>
    <xf numFmtId="0" fontId="25" fillId="45" borderId="31" xfId="0" applyFont="1" applyFill="1" applyBorder="1" applyAlignment="1">
      <alignment horizontal="center" vertical="center"/>
    </xf>
    <xf numFmtId="0" fontId="25" fillId="42" borderId="46" xfId="0" applyFont="1" applyFill="1" applyBorder="1" applyAlignment="1" applyProtection="1">
      <alignment horizontal="center" vertical="center"/>
    </xf>
    <xf numFmtId="0" fontId="0" fillId="42" borderId="0" xfId="0" applyFont="1" applyFill="1" applyBorder="1" applyAlignment="1">
      <alignment horizontal="center" vertical="center"/>
    </xf>
    <xf numFmtId="0" fontId="0" fillId="42" borderId="47" xfId="0" applyFont="1" applyFill="1" applyBorder="1" applyAlignment="1">
      <alignment horizontal="center" vertical="center"/>
    </xf>
    <xf numFmtId="0" fontId="25" fillId="47" borderId="54" xfId="0" applyFont="1" applyFill="1" applyBorder="1" applyAlignment="1" applyProtection="1">
      <alignment horizontal="center" vertical="center"/>
    </xf>
    <xf numFmtId="0" fontId="25" fillId="47" borderId="0" xfId="0" applyFont="1" applyFill="1" applyBorder="1" applyAlignment="1" applyProtection="1">
      <alignment horizontal="center" vertical="center"/>
    </xf>
    <xf numFmtId="0" fontId="25" fillId="47" borderId="55" xfId="0" applyFont="1" applyFill="1" applyBorder="1" applyAlignment="1" applyProtection="1">
      <alignment horizontal="center" vertical="center"/>
    </xf>
    <xf numFmtId="0" fontId="25" fillId="41" borderId="54" xfId="0" applyFont="1" applyFill="1" applyBorder="1" applyAlignment="1" applyProtection="1">
      <alignment horizontal="center" vertical="center"/>
    </xf>
    <xf numFmtId="0" fontId="25" fillId="41" borderId="0" xfId="0" applyFont="1" applyFill="1" applyBorder="1" applyAlignment="1" applyProtection="1">
      <alignment horizontal="center" vertical="center"/>
    </xf>
    <xf numFmtId="0" fontId="25" fillId="41" borderId="55" xfId="0" applyFont="1" applyFill="1" applyBorder="1" applyAlignment="1" applyProtection="1">
      <alignment horizontal="center" vertical="center"/>
    </xf>
    <xf numFmtId="0" fontId="36" fillId="37" borderId="19" xfId="0" applyFont="1" applyFill="1" applyBorder="1" applyAlignment="1" applyProtection="1">
      <alignment horizontal="center" vertical="center"/>
    </xf>
    <xf numFmtId="0" fontId="4" fillId="37" borderId="20" xfId="0" applyFont="1" applyFill="1" applyBorder="1" applyAlignment="1">
      <alignment horizontal="center" vertical="center"/>
    </xf>
    <xf numFmtId="0" fontId="4" fillId="37" borderId="21" xfId="0" applyFont="1" applyFill="1" applyBorder="1" applyAlignment="1">
      <alignment horizontal="center" vertical="center"/>
    </xf>
    <xf numFmtId="0" fontId="36" fillId="38" borderId="51" xfId="0" applyFont="1" applyFill="1" applyBorder="1" applyAlignment="1" applyProtection="1">
      <alignment horizontal="center" vertical="center"/>
    </xf>
    <xf numFmtId="0" fontId="36" fillId="38" borderId="52" xfId="0" applyFont="1" applyFill="1" applyBorder="1" applyAlignment="1" applyProtection="1">
      <alignment horizontal="center" vertical="center"/>
    </xf>
    <xf numFmtId="0" fontId="36" fillId="38" borderId="53" xfId="0" applyFont="1" applyFill="1" applyBorder="1" applyAlignment="1" applyProtection="1">
      <alignment horizontal="center" vertical="center"/>
    </xf>
    <xf numFmtId="0" fontId="36" fillId="39" borderId="27" xfId="0" applyFont="1" applyFill="1" applyBorder="1" applyAlignment="1" applyProtection="1">
      <alignment horizontal="center" vertical="center"/>
    </xf>
    <xf numFmtId="0" fontId="36" fillId="39" borderId="28" xfId="0" applyFont="1" applyFill="1" applyBorder="1" applyAlignment="1">
      <alignment horizontal="center" vertical="center"/>
    </xf>
    <xf numFmtId="0" fontId="36" fillId="39" borderId="29" xfId="0" applyFont="1" applyFill="1" applyBorder="1" applyAlignment="1">
      <alignment horizontal="center" vertical="center"/>
    </xf>
    <xf numFmtId="0" fontId="25" fillId="43" borderId="14" xfId="0" applyFont="1" applyFill="1" applyBorder="1" applyAlignment="1" applyProtection="1">
      <alignment horizontal="center" vertical="center"/>
    </xf>
    <xf numFmtId="0" fontId="0" fillId="43" borderId="0" xfId="0" applyFont="1" applyFill="1" applyBorder="1" applyAlignment="1">
      <alignment horizontal="center" vertical="center"/>
    </xf>
    <xf numFmtId="0" fontId="0" fillId="43" borderId="15" xfId="0" applyFont="1" applyFill="1" applyBorder="1" applyAlignment="1">
      <alignment horizontal="center" vertical="center"/>
    </xf>
    <xf numFmtId="0" fontId="36" fillId="29" borderId="111" xfId="0" applyFont="1" applyFill="1" applyBorder="1" applyAlignment="1" applyProtection="1">
      <alignment horizontal="center" vertical="center"/>
    </xf>
    <xf numFmtId="0" fontId="36" fillId="29" borderId="112" xfId="0" applyFont="1" applyFill="1" applyBorder="1" applyAlignment="1" applyProtection="1">
      <alignment horizontal="center" vertical="center"/>
    </xf>
    <xf numFmtId="0" fontId="36" fillId="29" borderId="113" xfId="0" applyFont="1" applyFill="1" applyBorder="1" applyAlignment="1" applyProtection="1">
      <alignment horizontal="center" vertical="center"/>
    </xf>
    <xf numFmtId="0" fontId="0" fillId="0" borderId="0" xfId="0" applyFont="1" applyAlignment="1"/>
    <xf numFmtId="0" fontId="36" fillId="29" borderId="36" xfId="0" applyFont="1" applyFill="1" applyBorder="1" applyAlignment="1">
      <alignment horizontal="center" vertical="center"/>
    </xf>
    <xf numFmtId="0" fontId="36" fillId="29" borderId="37" xfId="0" applyFont="1" applyFill="1" applyBorder="1" applyAlignment="1">
      <alignment horizontal="center" vertical="center"/>
    </xf>
    <xf numFmtId="0" fontId="36" fillId="34" borderId="12" xfId="0" applyFont="1" applyFill="1" applyBorder="1" applyAlignment="1">
      <alignment horizontal="center" vertical="center"/>
    </xf>
    <xf numFmtId="0" fontId="36" fillId="34" borderId="13" xfId="0" applyFont="1" applyFill="1" applyBorder="1" applyAlignment="1">
      <alignment horizontal="center" vertical="center"/>
    </xf>
    <xf numFmtId="0" fontId="25" fillId="44" borderId="38" xfId="0" applyFont="1" applyFill="1" applyBorder="1" applyAlignment="1" applyProtection="1">
      <alignment horizontal="left" vertical="center"/>
    </xf>
    <xf numFmtId="0" fontId="25" fillId="44" borderId="0" xfId="0" applyFont="1" applyFill="1" applyBorder="1" applyAlignment="1">
      <alignment horizontal="left" vertical="center"/>
    </xf>
    <xf numFmtId="0" fontId="25" fillId="44" borderId="39" xfId="0" applyFont="1" applyFill="1" applyBorder="1" applyAlignment="1">
      <alignment horizontal="left" vertical="center"/>
    </xf>
    <xf numFmtId="0" fontId="25" fillId="42" borderId="0" xfId="0" applyFont="1" applyFill="1" applyBorder="1" applyAlignment="1" applyProtection="1">
      <alignment horizontal="center" vertical="center"/>
    </xf>
    <xf numFmtId="0" fontId="25" fillId="42" borderId="47" xfId="0" applyFont="1" applyFill="1" applyBorder="1" applyAlignment="1" applyProtection="1">
      <alignment horizontal="center" vertical="center"/>
    </xf>
    <xf numFmtId="0" fontId="25" fillId="47" borderId="30" xfId="0" applyFont="1" applyFill="1" applyBorder="1" applyAlignment="1" applyProtection="1">
      <alignment horizontal="center" vertical="center"/>
    </xf>
    <xf numFmtId="0" fontId="25" fillId="47" borderId="31" xfId="0" applyFont="1" applyFill="1" applyBorder="1" applyAlignment="1" applyProtection="1">
      <alignment horizontal="center" vertical="center"/>
    </xf>
    <xf numFmtId="0" fontId="36" fillId="37" borderId="20" xfId="0" applyFont="1" applyFill="1" applyBorder="1" applyAlignment="1" applyProtection="1">
      <alignment horizontal="center" vertical="center"/>
    </xf>
    <xf numFmtId="0" fontId="36" fillId="37" borderId="21" xfId="0" applyFont="1" applyFill="1" applyBorder="1" applyAlignment="1" applyProtection="1">
      <alignment horizontal="center" vertical="center"/>
    </xf>
    <xf numFmtId="0" fontId="25" fillId="45" borderId="0" xfId="0" applyFont="1" applyFill="1" applyBorder="1" applyAlignment="1" applyProtection="1">
      <alignment horizontal="center" vertical="center"/>
    </xf>
    <xf numFmtId="0" fontId="25" fillId="45" borderId="31" xfId="0" applyFont="1" applyFill="1" applyBorder="1" applyAlignment="1" applyProtection="1">
      <alignment horizontal="center" vertical="center"/>
    </xf>
    <xf numFmtId="0" fontId="3" fillId="35" borderId="114" xfId="85" applyFont="1" applyFill="1" applyBorder="1" applyAlignment="1">
      <alignment horizontal="left" vertical="center" wrapText="1"/>
    </xf>
    <xf numFmtId="0" fontId="3" fillId="35" borderId="115" xfId="85" applyFont="1" applyFill="1" applyBorder="1" applyAlignment="1">
      <alignment horizontal="left" vertical="center" wrapText="1"/>
    </xf>
    <xf numFmtId="0" fontId="3" fillId="35" borderId="116" xfId="85" applyFont="1" applyFill="1" applyBorder="1" applyAlignment="1">
      <alignment horizontal="left" vertical="center" wrapText="1"/>
    </xf>
    <xf numFmtId="0" fontId="72" fillId="35" borderId="119" xfId="91" applyFont="1" applyFill="1" applyBorder="1" applyAlignment="1">
      <alignment horizontal="center" vertical="center" wrapText="1"/>
    </xf>
    <xf numFmtId="0" fontId="72" fillId="35" borderId="124" xfId="91" applyFont="1" applyFill="1" applyBorder="1" applyAlignment="1">
      <alignment horizontal="center" vertical="center" wrapText="1"/>
    </xf>
    <xf numFmtId="0" fontId="1" fillId="35" borderId="119" xfId="91" applyFill="1" applyBorder="1" applyAlignment="1">
      <alignment horizontal="right" vertical="center" wrapText="1"/>
    </xf>
    <xf numFmtId="0" fontId="1" fillId="35" borderId="64" xfId="91" applyFill="1" applyBorder="1" applyAlignment="1">
      <alignment horizontal="right" vertical="center"/>
    </xf>
    <xf numFmtId="0" fontId="1" fillId="35" borderId="119" xfId="91" applyFill="1" applyBorder="1" applyAlignment="1">
      <alignment horizontal="center" vertical="center" wrapText="1"/>
    </xf>
    <xf numFmtId="0" fontId="1" fillId="35" borderId="63" xfId="91" applyFill="1" applyBorder="1" applyAlignment="1">
      <alignment horizontal="center" vertical="center" wrapText="1"/>
    </xf>
    <xf numFmtId="0" fontId="1" fillId="35" borderId="119" xfId="91" applyFont="1" applyFill="1" applyBorder="1" applyAlignment="1">
      <alignment horizontal="center" vertical="center" textRotation="90"/>
    </xf>
    <xf numFmtId="0" fontId="1" fillId="35" borderId="120" xfId="91" applyFill="1" applyBorder="1" applyAlignment="1">
      <alignment horizontal="center" vertical="center" textRotation="90"/>
    </xf>
    <xf numFmtId="0" fontId="1" fillId="35" borderId="124" xfId="91" applyFill="1" applyBorder="1" applyAlignment="1">
      <alignment horizontal="center" vertical="center" textRotation="90"/>
    </xf>
    <xf numFmtId="0" fontId="36" fillId="39" borderId="27" xfId="0" applyFont="1" applyFill="1" applyBorder="1" applyAlignment="1">
      <alignment horizontal="center" vertical="center"/>
    </xf>
    <xf numFmtId="0" fontId="44" fillId="51" borderId="79" xfId="84" applyFont="1" applyFill="1" applyBorder="1" applyAlignment="1">
      <alignment horizontal="center" vertical="center" wrapText="1"/>
    </xf>
    <xf numFmtId="0" fontId="44" fillId="51" borderId="80" xfId="84" applyFont="1" applyFill="1" applyBorder="1" applyAlignment="1">
      <alignment horizontal="center" vertical="center" wrapText="1"/>
    </xf>
    <xf numFmtId="0" fontId="44" fillId="51" borderId="81" xfId="84" applyFont="1" applyFill="1" applyBorder="1" applyAlignment="1">
      <alignment horizontal="center" vertical="center" wrapText="1"/>
    </xf>
    <xf numFmtId="0" fontId="73" fillId="0" borderId="0" xfId="0" applyFont="1" applyBorder="1" applyAlignment="1" applyProtection="1">
      <alignment horizontal="center"/>
    </xf>
    <xf numFmtId="0" fontId="37" fillId="50" borderId="10" xfId="0" applyFont="1" applyFill="1" applyBorder="1" applyAlignment="1" applyProtection="1">
      <alignment horizontal="center"/>
    </xf>
    <xf numFmtId="0" fontId="43" fillId="51" borderId="77" xfId="84" applyFont="1" applyFill="1" applyBorder="1" applyAlignment="1">
      <alignment horizontal="center" vertical="center" wrapText="1"/>
    </xf>
    <xf numFmtId="0" fontId="43" fillId="51" borderId="82" xfId="84" applyFont="1" applyFill="1" applyBorder="1" applyAlignment="1">
      <alignment horizontal="center" vertical="center" wrapText="1"/>
    </xf>
    <xf numFmtId="0" fontId="43" fillId="51" borderId="78" xfId="84" applyFont="1" applyFill="1" applyBorder="1" applyAlignment="1">
      <alignment horizontal="center" vertical="center" wrapText="1"/>
    </xf>
    <xf numFmtId="0" fontId="43" fillId="51" borderId="83" xfId="84" applyFont="1" applyFill="1" applyBorder="1" applyAlignment="1">
      <alignment horizontal="center" vertical="center" wrapText="1"/>
    </xf>
    <xf numFmtId="0" fontId="37" fillId="50" borderId="91" xfId="0" applyFont="1" applyFill="1" applyBorder="1" applyAlignment="1" applyProtection="1">
      <alignment horizontal="center"/>
    </xf>
    <xf numFmtId="0" fontId="37" fillId="50" borderId="92" xfId="0" applyFont="1" applyFill="1" applyBorder="1" applyAlignment="1" applyProtection="1">
      <alignment horizontal="center"/>
    </xf>
    <xf numFmtId="0" fontId="0" fillId="0" borderId="0" xfId="0" applyFont="1" applyAlignment="1">
      <alignment vertical="top"/>
    </xf>
    <xf numFmtId="49" fontId="0" fillId="35" borderId="0" xfId="0" applyNumberFormat="1" applyFont="1" applyFill="1" applyAlignment="1">
      <alignment horizontal="left" vertical="top" wrapText="1"/>
    </xf>
    <xf numFmtId="0" fontId="0" fillId="35" borderId="0" xfId="0" applyFont="1" applyFill="1" applyAlignment="1">
      <alignment vertical="top"/>
    </xf>
    <xf numFmtId="0" fontId="25" fillId="35" borderId="0" xfId="0" applyFont="1" applyFill="1" applyAlignment="1">
      <alignment vertical="top"/>
    </xf>
    <xf numFmtId="0" fontId="82" fillId="35" borderId="0" xfId="92" applyFont="1" applyFill="1" applyAlignment="1" applyProtection="1">
      <alignment horizontal="left" vertical="top"/>
    </xf>
    <xf numFmtId="0" fontId="0" fillId="35" borderId="0" xfId="0" applyFont="1" applyFill="1" applyBorder="1" applyAlignment="1">
      <alignment vertical="top"/>
    </xf>
    <xf numFmtId="0" fontId="81" fillId="35" borderId="0" xfId="92" applyFont="1" applyFill="1" applyBorder="1" applyAlignment="1" applyProtection="1">
      <alignment vertical="top"/>
    </xf>
    <xf numFmtId="0" fontId="25" fillId="63" borderId="0" xfId="0" applyFont="1" applyFill="1" applyAlignment="1">
      <alignment vertical="top"/>
    </xf>
    <xf numFmtId="0" fontId="0" fillId="63" borderId="0" xfId="0" applyFont="1" applyFill="1" applyAlignment="1">
      <alignment vertical="top"/>
    </xf>
    <xf numFmtId="0" fontId="0" fillId="0" borderId="0" xfId="0" applyFont="1" applyFill="1" applyAlignment="1">
      <alignment vertical="top"/>
    </xf>
  </cellXfs>
  <cellStyles count="93">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20% - 强调文字颜色 1" xfId="7" xr:uid="{00000000-0005-0000-0000-000006000000}"/>
    <cellStyle name="20% - 强调文字颜色 2" xfId="8" xr:uid="{00000000-0005-0000-0000-000007000000}"/>
    <cellStyle name="20% - 强调文字颜色 3" xfId="9" xr:uid="{00000000-0005-0000-0000-000008000000}"/>
    <cellStyle name="20% - 强调文字颜色 4" xfId="10" xr:uid="{00000000-0005-0000-0000-000009000000}"/>
    <cellStyle name="20% - 强调文字颜色 5" xfId="11" xr:uid="{00000000-0005-0000-0000-00000A000000}"/>
    <cellStyle name="20% - 强调文字颜色 6" xfId="12" xr:uid="{00000000-0005-0000-0000-00000B000000}"/>
    <cellStyle name="40% - Accent1" xfId="13" builtinId="31" customBuiltin="1"/>
    <cellStyle name="40% - Accent2" xfId="14" builtinId="35" customBuiltin="1"/>
    <cellStyle name="40% - Accent3" xfId="15" builtinId="39" customBuiltin="1"/>
    <cellStyle name="40% - Accent4" xfId="16" builtinId="43" customBuiltin="1"/>
    <cellStyle name="40% - Accent5" xfId="17" builtinId="47" customBuiltin="1"/>
    <cellStyle name="40% - Accent6" xfId="18" builtinId="51" customBuiltin="1"/>
    <cellStyle name="40% - 强调文字颜色 1" xfId="19" xr:uid="{00000000-0005-0000-0000-000012000000}"/>
    <cellStyle name="40% - 强调文字颜色 2" xfId="20" xr:uid="{00000000-0005-0000-0000-000013000000}"/>
    <cellStyle name="40% - 强调文字颜色 3" xfId="21" xr:uid="{00000000-0005-0000-0000-000014000000}"/>
    <cellStyle name="40% - 强调文字颜色 4" xfId="22" xr:uid="{00000000-0005-0000-0000-000015000000}"/>
    <cellStyle name="40% - 强调文字颜色 5" xfId="23" xr:uid="{00000000-0005-0000-0000-000016000000}"/>
    <cellStyle name="40% - 强调文字颜色 6" xfId="24" xr:uid="{00000000-0005-0000-0000-000017000000}"/>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60% - 强调文字颜色 1" xfId="31" xr:uid="{00000000-0005-0000-0000-00001E000000}"/>
    <cellStyle name="60% - 强调文字颜色 2" xfId="32" xr:uid="{00000000-0005-0000-0000-00001F000000}"/>
    <cellStyle name="60% - 强调文字颜色 3" xfId="33" xr:uid="{00000000-0005-0000-0000-000020000000}"/>
    <cellStyle name="60% - 强调文字颜色 4" xfId="34" xr:uid="{00000000-0005-0000-0000-000021000000}"/>
    <cellStyle name="60% - 强调文字颜色 5" xfId="35" xr:uid="{00000000-0005-0000-0000-000022000000}"/>
    <cellStyle name="60% - 强调文字颜色 6" xfId="36" xr:uid="{00000000-0005-0000-0000-000023000000}"/>
    <cellStyle name="Accent1" xfId="37" builtinId="29" customBuiltin="1"/>
    <cellStyle name="Accent2" xfId="38" builtinId="33" customBuiltin="1"/>
    <cellStyle name="Accent3" xfId="39" builtinId="37" customBuiltin="1"/>
    <cellStyle name="Accent4" xfId="40" builtinId="41" customBuiltin="1"/>
    <cellStyle name="Accent5" xfId="41" builtinId="45" customBuiltin="1"/>
    <cellStyle name="Accent6" xfId="42" builtinId="49" customBuiltin="1"/>
    <cellStyle name="Bad" xfId="43" builtinId="27" customBuiltin="1"/>
    <cellStyle name="Calculation" xfId="44" builtinId="22" customBuiltin="1"/>
    <cellStyle name="Check Cell" xfId="45" builtinId="23" customBuiltin="1"/>
    <cellStyle name="Explanatory Text" xfId="46" builtinId="53" customBuiltin="1"/>
    <cellStyle name="Good" xfId="47" builtinId="26" customBuiltin="1"/>
    <cellStyle name="Heading 1" xfId="48" builtinId="16" customBuiltin="1"/>
    <cellStyle name="Heading 2" xfId="49" builtinId="17" customBuiltin="1"/>
    <cellStyle name="Heading 3" xfId="50" builtinId="18" customBuiltin="1"/>
    <cellStyle name="Heading 4" xfId="51" builtinId="19" customBuiltin="1"/>
    <cellStyle name="Hyperlink" xfId="92" builtinId="8"/>
    <cellStyle name="Input" xfId="52" builtinId="20" customBuiltin="1"/>
    <cellStyle name="Linked Cell" xfId="53" builtinId="24" customBuiltin="1"/>
    <cellStyle name="Neutral" xfId="54" builtinId="28" customBuiltin="1"/>
    <cellStyle name="Normal" xfId="0" builtinId="0"/>
    <cellStyle name="Normal 2 2" xfId="88" xr:uid="{00000000-0005-0000-0000-000037000000}"/>
    <cellStyle name="Normal 2 2 2" xfId="89" xr:uid="{00000000-0005-0000-0000-000038000000}"/>
    <cellStyle name="Normal 2_Db" xfId="86" xr:uid="{00000000-0005-0000-0000-000039000000}"/>
    <cellStyle name="Normal 3" xfId="84" xr:uid="{00000000-0005-0000-0000-00003A000000}"/>
    <cellStyle name="Normal 4" xfId="85" xr:uid="{00000000-0005-0000-0000-00003B000000}"/>
    <cellStyle name="Normal 4 2" xfId="90" xr:uid="{00000000-0005-0000-0000-00003C000000}"/>
    <cellStyle name="Normal 4 2 2" xfId="91" xr:uid="{00000000-0005-0000-0000-00003D000000}"/>
    <cellStyle name="Normal_Db" xfId="87" xr:uid="{00000000-0005-0000-0000-00003E000000}"/>
    <cellStyle name="Note" xfId="55" builtinId="10" customBuiltin="1"/>
    <cellStyle name="Output" xfId="56" builtinId="21" customBuiltin="1"/>
    <cellStyle name="Percent" xfId="57" builtinId="5"/>
    <cellStyle name="Title" xfId="58" builtinId="15" customBuiltin="1"/>
    <cellStyle name="Total" xfId="59" builtinId="25" customBuiltin="1"/>
    <cellStyle name="Warning Text" xfId="60" builtinId="11" customBuiltin="1"/>
    <cellStyle name="好" xfId="61" xr:uid="{00000000-0005-0000-0000-000045000000}"/>
    <cellStyle name="差" xfId="62" xr:uid="{00000000-0005-0000-0000-000046000000}"/>
    <cellStyle name="强调文字颜色 1" xfId="63" xr:uid="{00000000-0005-0000-0000-000047000000}"/>
    <cellStyle name="强调文字颜色 2" xfId="64" xr:uid="{00000000-0005-0000-0000-000048000000}"/>
    <cellStyle name="强调文字颜色 3" xfId="65" xr:uid="{00000000-0005-0000-0000-000049000000}"/>
    <cellStyle name="强调文字颜色 4" xfId="66" xr:uid="{00000000-0005-0000-0000-00004A000000}"/>
    <cellStyle name="强调文字颜色 5" xfId="67" xr:uid="{00000000-0005-0000-0000-00004B000000}"/>
    <cellStyle name="强调文字颜色 6" xfId="68" xr:uid="{00000000-0005-0000-0000-00004C000000}"/>
    <cellStyle name="标题" xfId="69" xr:uid="{00000000-0005-0000-0000-00004D000000}"/>
    <cellStyle name="标题 1" xfId="70" xr:uid="{00000000-0005-0000-0000-00004E000000}"/>
    <cellStyle name="标题 2" xfId="71" xr:uid="{00000000-0005-0000-0000-00004F000000}"/>
    <cellStyle name="标题 3" xfId="72" xr:uid="{00000000-0005-0000-0000-000050000000}"/>
    <cellStyle name="标题 4" xfId="73" xr:uid="{00000000-0005-0000-0000-000051000000}"/>
    <cellStyle name="检查单元格" xfId="74" xr:uid="{00000000-0005-0000-0000-000052000000}"/>
    <cellStyle name="汇总" xfId="75" xr:uid="{00000000-0005-0000-0000-000053000000}"/>
    <cellStyle name="注释" xfId="76" xr:uid="{00000000-0005-0000-0000-000054000000}"/>
    <cellStyle name="解释性文本" xfId="77" xr:uid="{00000000-0005-0000-0000-000055000000}"/>
    <cellStyle name="警告文本" xfId="78" xr:uid="{00000000-0005-0000-0000-000056000000}"/>
    <cellStyle name="计算" xfId="79" xr:uid="{00000000-0005-0000-0000-000057000000}"/>
    <cellStyle name="输入" xfId="80" xr:uid="{00000000-0005-0000-0000-000058000000}"/>
    <cellStyle name="输出" xfId="81" xr:uid="{00000000-0005-0000-0000-000059000000}"/>
    <cellStyle name="适中" xfId="82" xr:uid="{00000000-0005-0000-0000-00005A000000}"/>
    <cellStyle name="链接单元格" xfId="83" xr:uid="{00000000-0005-0000-0000-00005B000000}"/>
  </cellStyles>
  <dxfs count="0"/>
  <tableStyles count="0" defaultTableStyle="TableStyleMedium9" defaultPivotStyle="PivotStyleLight16"/>
  <colors>
    <mruColors>
      <color rgb="FF538DD5"/>
      <color rgb="FFDCE6F1"/>
      <color rgb="FFFFFF66"/>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externalLink" Target="externalLinks/externalLink1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30" Type="http://schemas.openxmlformats.org/officeDocument/2006/relationships/externalLink" Target="externalLinks/externalLink16.xml"/><Relationship Id="rId35" Type="http://schemas.openxmlformats.org/officeDocument/2006/relationships/calcChain" Target="calcChain.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Link Margin vs Receiver Antenna Diameter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MarginvsDiam</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
              <c:pt idx="0">
                <c:v>0.1</c:v>
              </c:pt>
              <c:pt idx="1">
                <c:v>0.31111111111111112</c:v>
              </c:pt>
              <c:pt idx="2">
                <c:v>0.52222222222222225</c:v>
              </c:pt>
              <c:pt idx="3">
                <c:v>0.73333333333333339</c:v>
              </c:pt>
              <c:pt idx="4">
                <c:v>0.94444444444444442</c:v>
              </c:pt>
              <c:pt idx="5">
                <c:v>1.1555555555555554</c:v>
              </c:pt>
              <c:pt idx="6">
                <c:v>1.3666666666666667</c:v>
              </c:pt>
              <c:pt idx="7">
                <c:v>1.5777777777777777</c:v>
              </c:pt>
              <c:pt idx="8">
                <c:v>1.788888888888889</c:v>
              </c:pt>
              <c:pt idx="9">
                <c:v>2</c:v>
              </c:pt>
            </c:numLit>
          </c:xVal>
          <c:yVal>
            <c:numLit>
              <c:formatCode>General</c:formatCode>
              <c:ptCount val="10"/>
              <c:pt idx="0">
                <c:v>125.80654179096518</c:v>
              </c:pt>
              <c:pt idx="1">
                <c:v>125.80521337070817</c:v>
              </c:pt>
              <c:pt idx="2">
                <c:v>125.80252062694399</c:v>
              </c:pt>
              <c:pt idx="3">
                <c:v>125.79846355967265</c:v>
              </c:pt>
              <c:pt idx="4">
                <c:v>125.79304216889412</c:v>
              </c:pt>
              <c:pt idx="5">
                <c:v>125.78625645460841</c:v>
              </c:pt>
              <c:pt idx="6">
                <c:v>125.77810641681549</c:v>
              </c:pt>
              <c:pt idx="7">
                <c:v>125.76859205551543</c:v>
              </c:pt>
              <c:pt idx="8">
                <c:v>125.75771337070819</c:v>
              </c:pt>
              <c:pt idx="9">
                <c:v>125.74547036239375</c:v>
              </c:pt>
            </c:numLit>
          </c:yVal>
          <c:smooth val="0"/>
          <c:extLst>
            <c:ext xmlns:c16="http://schemas.microsoft.com/office/drawing/2014/chart" uri="{C3380CC4-5D6E-409C-BE32-E72D297353CC}">
              <c16:uniqueId val="{00000010-5BB8-412D-8E12-50B756379967}"/>
            </c:ext>
          </c:extLst>
        </c:ser>
        <c:dLbls>
          <c:showLegendKey val="0"/>
          <c:showVal val="0"/>
          <c:showCatName val="0"/>
          <c:showSerName val="0"/>
          <c:showPercent val="0"/>
          <c:showBubbleSize val="0"/>
        </c:dLbls>
        <c:axId val="920215192"/>
        <c:axId val="920213880"/>
      </c:scatterChart>
      <c:valAx>
        <c:axId val="92021519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Antenna Diameter [m]</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20213880"/>
        <c:crosses val="autoZero"/>
        <c:crossBetween val="midCat"/>
      </c:valAx>
      <c:valAx>
        <c:axId val="920213880"/>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Link Margin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2021519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Link Margin vs Transmitter Power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MarginvsPower</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50"/>
              <c:pt idx="0">
                <c:v>0.1</c:v>
              </c:pt>
              <c:pt idx="1">
                <c:v>10.30204081632653</c:v>
              </c:pt>
              <c:pt idx="2">
                <c:v>20.504081632653062</c:v>
              </c:pt>
              <c:pt idx="3">
                <c:v>30.706122448979592</c:v>
              </c:pt>
              <c:pt idx="4">
                <c:v>40.908163265306122</c:v>
              </c:pt>
              <c:pt idx="5">
                <c:v>51.110204081632652</c:v>
              </c:pt>
              <c:pt idx="6">
                <c:v>61.312244897959182</c:v>
              </c:pt>
              <c:pt idx="7">
                <c:v>71.514285714285705</c:v>
              </c:pt>
              <c:pt idx="8">
                <c:v>81.716326530612236</c:v>
              </c:pt>
              <c:pt idx="9">
                <c:v>91.918367346938766</c:v>
              </c:pt>
              <c:pt idx="10">
                <c:v>102.1204081632653</c:v>
              </c:pt>
              <c:pt idx="11">
                <c:v>112.32244897959183</c:v>
              </c:pt>
              <c:pt idx="12">
                <c:v>122.52448979591836</c:v>
              </c:pt>
              <c:pt idx="13">
                <c:v>132.72653061224489</c:v>
              </c:pt>
              <c:pt idx="14">
                <c:v>142.92857142857142</c:v>
              </c:pt>
              <c:pt idx="15">
                <c:v>153.13061224489795</c:v>
              </c:pt>
              <c:pt idx="16">
                <c:v>163.33265306122448</c:v>
              </c:pt>
              <c:pt idx="17">
                <c:v>173.53469387755101</c:v>
              </c:pt>
              <c:pt idx="18">
                <c:v>183.73673469387754</c:v>
              </c:pt>
              <c:pt idx="19">
                <c:v>193.93877551020407</c:v>
              </c:pt>
              <c:pt idx="20">
                <c:v>204.1408163265306</c:v>
              </c:pt>
              <c:pt idx="21">
                <c:v>214.34285714285713</c:v>
              </c:pt>
              <c:pt idx="22">
                <c:v>224.54489795918366</c:v>
              </c:pt>
              <c:pt idx="23">
                <c:v>234.74693877551019</c:v>
              </c:pt>
              <c:pt idx="24">
                <c:v>244.94897959183672</c:v>
              </c:pt>
              <c:pt idx="25">
                <c:v>255.15102040816325</c:v>
              </c:pt>
              <c:pt idx="26">
                <c:v>265.35306122448981</c:v>
              </c:pt>
              <c:pt idx="27">
                <c:v>275.55510204081634</c:v>
              </c:pt>
              <c:pt idx="28">
                <c:v>285.75714285714287</c:v>
              </c:pt>
              <c:pt idx="29">
                <c:v>295.9591836734694</c:v>
              </c:pt>
              <c:pt idx="30">
                <c:v>306.16122448979593</c:v>
              </c:pt>
              <c:pt idx="31">
                <c:v>316.36326530612246</c:v>
              </c:pt>
              <c:pt idx="32">
                <c:v>326.56530612244899</c:v>
              </c:pt>
              <c:pt idx="33">
                <c:v>336.76734693877552</c:v>
              </c:pt>
              <c:pt idx="34">
                <c:v>346.96938775510205</c:v>
              </c:pt>
              <c:pt idx="35">
                <c:v>357.17142857142858</c:v>
              </c:pt>
              <c:pt idx="36">
                <c:v>367.37346938775511</c:v>
              </c:pt>
              <c:pt idx="37">
                <c:v>377.57551020408164</c:v>
              </c:pt>
              <c:pt idx="38">
                <c:v>387.77755102040817</c:v>
              </c:pt>
              <c:pt idx="39">
                <c:v>397.9795918367347</c:v>
              </c:pt>
              <c:pt idx="40">
                <c:v>408.18163265306123</c:v>
              </c:pt>
              <c:pt idx="41">
                <c:v>418.38367346938776</c:v>
              </c:pt>
              <c:pt idx="42">
                <c:v>428.58571428571429</c:v>
              </c:pt>
              <c:pt idx="43">
                <c:v>438.78775510204082</c:v>
              </c:pt>
              <c:pt idx="44">
                <c:v>448.98979591836735</c:v>
              </c:pt>
              <c:pt idx="45">
                <c:v>459.19183673469388</c:v>
              </c:pt>
              <c:pt idx="46">
                <c:v>469.39387755102041</c:v>
              </c:pt>
              <c:pt idx="47">
                <c:v>479.59591836734694</c:v>
              </c:pt>
              <c:pt idx="48">
                <c:v>489.79795918367347</c:v>
              </c:pt>
              <c:pt idx="49">
                <c:v>500</c:v>
              </c:pt>
            </c:numLit>
          </c:xVal>
          <c:yVal>
            <c:numLit>
              <c:formatCode>General</c:formatCode>
              <c:ptCount val="50"/>
              <c:pt idx="0">
                <c:v>75.339056352167347</c:v>
              </c:pt>
              <c:pt idx="1">
                <c:v>95.468289014243013</c:v>
              </c:pt>
              <c:pt idx="2">
                <c:v>98.457459574477511</c:v>
              </c:pt>
              <c:pt idx="3">
                <c:v>100.21130612671392</c:v>
              </c:pt>
              <c:pt idx="4">
                <c:v>101.45715615774763</c:v>
              </c:pt>
              <c:pt idx="5">
                <c:v>102.42413250301301</c:v>
              </c:pt>
              <c:pt idx="6">
                <c:v>103.21452852974168</c:v>
              </c:pt>
              <c:pt idx="7">
                <c:v>103.88298440474684</c:v>
              </c:pt>
              <c:pt idx="8">
                <c:v>104.46214470375594</c:v>
              </c:pt>
              <c:pt idx="9">
                <c:v>104.97307937031513</c:v>
              </c:pt>
              <c:pt idx="10">
                <c:v>105.43018177176401</c:v>
              </c:pt>
              <c:pt idx="11">
                <c:v>105.84372199079462</c:v>
              </c:pt>
              <c:pt idx="12">
                <c:v>106.22128537960037</c:v>
              </c:pt>
              <c:pt idx="13">
                <c:v>106.56863377575149</c:v>
              </c:pt>
              <c:pt idx="14">
                <c:v>106.89024688174709</c:v>
              </c:pt>
              <c:pt idx="15">
                <c:v>107.18967654132365</c:v>
              </c:pt>
              <c:pt idx="16">
                <c:v>107.46978651715148</c:v>
              </c:pt>
              <c:pt idx="17">
                <c:v>107.73291949233004</c:v>
              </c:pt>
              <c:pt idx="18">
                <c:v>107.98101629192229</c:v>
              </c:pt>
              <c:pt idx="19">
                <c:v>108.21570284452918</c:v>
              </c:pt>
              <c:pt idx="20">
                <c:v>108.43835482329422</c:v>
              </c:pt>
              <c:pt idx="21">
                <c:v>108.65014650681167</c:v>
              </c:pt>
              <c:pt idx="22">
                <c:v>108.85208826820565</c:v>
              </c:pt>
              <c:pt idx="23">
                <c:v>109.04505572761605</c:v>
              </c:pt>
              <c:pt idx="24">
                <c:v>109.22981269829427</c:v>
              </c:pt>
              <c:pt idx="25">
                <c:v>109.40702944732914</c:v>
              </c:pt>
              <c:pt idx="26">
                <c:v>109.57729737414797</c:v>
              </c:pt>
              <c:pt idx="27">
                <c:v>109.74114091832661</c:v>
              </c:pt>
              <c:pt idx="28">
                <c:v>109.8990273015342</c:v>
              </c:pt>
              <c:pt idx="29">
                <c:v>110.05137455979516</c:v>
              </c:pt>
              <c:pt idx="30">
                <c:v>110.19855821394566</c:v>
              </c:pt>
              <c:pt idx="31">
                <c:v>110.34091684628203</c:v>
              </c:pt>
              <c:pt idx="32">
                <c:v>110.47875679181635</c:v>
              </c:pt>
              <c:pt idx="33">
                <c:v>110.61235610764703</c:v>
              </c:pt>
              <c:pt idx="34">
                <c:v>110.74196794977348</c:v>
              </c:pt>
              <c:pt idx="35">
                <c:v>110.86782346043401</c:v>
              </c:pt>
              <c:pt idx="36">
                <c:v>110.99013424871515</c:v>
              </c:pt>
              <c:pt idx="37">
                <c:v>111.1090945313052</c:v>
              </c:pt>
              <c:pt idx="38">
                <c:v>111.22488298777989</c:v>
              </c:pt>
              <c:pt idx="39">
                <c:v>111.3376643749159</c:v>
              </c:pt>
              <c:pt idx="40">
                <c:v>111.4475909366418</c:v>
              </c:pt>
              <c:pt idx="41">
                <c:v>111.55480363990634</c:v>
              </c:pt>
              <c:pt idx="42">
                <c:v>111.65943326163602</c:v>
              </c:pt>
              <c:pt idx="43">
                <c:v>111.76160134780724</c:v>
              </c:pt>
              <c:pt idx="44">
                <c:v>111.86142106227402</c:v>
              </c:pt>
              <c:pt idx="45">
                <c:v>111.95899794021744</c:v>
              </c:pt>
              <c:pt idx="46">
                <c:v>112.05443055879505</c:v>
              </c:pt>
              <c:pt idx="47">
                <c:v>112.14781113567483</c:v>
              </c:pt>
              <c:pt idx="48">
                <c:v>112.23922606456398</c:v>
              </c:pt>
              <c:pt idx="49">
                <c:v>112.32875639552753</c:v>
              </c:pt>
            </c:numLit>
          </c:yVal>
          <c:smooth val="0"/>
          <c:extLst>
            <c:ext xmlns:c16="http://schemas.microsoft.com/office/drawing/2014/chart" uri="{C3380CC4-5D6E-409C-BE32-E72D297353CC}">
              <c16:uniqueId val="{00000000-80B4-49CB-A52A-3DF0C65099C1}"/>
            </c:ext>
          </c:extLst>
        </c:ser>
        <c:dLbls>
          <c:showLegendKey val="0"/>
          <c:showVal val="0"/>
          <c:showCatName val="0"/>
          <c:showSerName val="0"/>
          <c:showPercent val="0"/>
          <c:showBubbleSize val="0"/>
        </c:dLbls>
        <c:axId val="936461360"/>
        <c:axId val="936465624"/>
      </c:scatterChart>
      <c:valAx>
        <c:axId val="936461360"/>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Transmitter Power[W]</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36465624"/>
        <c:crosses val="autoZero"/>
        <c:crossBetween val="midCat"/>
      </c:valAx>
      <c:valAx>
        <c:axId val="93646562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Link Margin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3646136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Link Margin vs Transmitter Antenna Diameter</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MarginvsDiam</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50"/>
              <c:pt idx="0">
                <c:v>0.1</c:v>
              </c:pt>
              <c:pt idx="1">
                <c:v>0.22040816326530613</c:v>
              </c:pt>
              <c:pt idx="2">
                <c:v>0.34081632653061222</c:v>
              </c:pt>
              <c:pt idx="3">
                <c:v>0.46122448979591835</c:v>
              </c:pt>
              <c:pt idx="4">
                <c:v>0.58163265306122447</c:v>
              </c:pt>
              <c:pt idx="5">
                <c:v>0.70204081632653059</c:v>
              </c:pt>
              <c:pt idx="6">
                <c:v>0.82244897959183672</c:v>
              </c:pt>
              <c:pt idx="7">
                <c:v>0.94285714285714284</c:v>
              </c:pt>
              <c:pt idx="8">
                <c:v>1.0632653061224491</c:v>
              </c:pt>
              <c:pt idx="9">
                <c:v>1.1836734693877551</c:v>
              </c:pt>
              <c:pt idx="10">
                <c:v>1.3040816326530613</c:v>
              </c:pt>
              <c:pt idx="11">
                <c:v>1.4244897959183673</c:v>
              </c:pt>
              <c:pt idx="12">
                <c:v>1.5448979591836736</c:v>
              </c:pt>
              <c:pt idx="13">
                <c:v>1.6653061224489796</c:v>
              </c:pt>
              <c:pt idx="14">
                <c:v>1.7857142857142858</c:v>
              </c:pt>
              <c:pt idx="15">
                <c:v>1.9061224489795918</c:v>
              </c:pt>
              <c:pt idx="16">
                <c:v>2.0265306122448981</c:v>
              </c:pt>
              <c:pt idx="17">
                <c:v>2.1469387755102041</c:v>
              </c:pt>
              <c:pt idx="18">
                <c:v>2.2673469387755101</c:v>
              </c:pt>
              <c:pt idx="19">
                <c:v>2.3877551020408165</c:v>
              </c:pt>
              <c:pt idx="20">
                <c:v>2.5081632653061225</c:v>
              </c:pt>
              <c:pt idx="21">
                <c:v>2.6285714285714286</c:v>
              </c:pt>
              <c:pt idx="22">
                <c:v>2.7489795918367346</c:v>
              </c:pt>
              <c:pt idx="23">
                <c:v>2.869387755102041</c:v>
              </c:pt>
              <c:pt idx="24">
                <c:v>2.989795918367347</c:v>
              </c:pt>
              <c:pt idx="25">
                <c:v>3.1102040816326531</c:v>
              </c:pt>
              <c:pt idx="26">
                <c:v>3.2306122448979591</c:v>
              </c:pt>
              <c:pt idx="27">
                <c:v>3.3510204081632655</c:v>
              </c:pt>
              <c:pt idx="28">
                <c:v>3.4714285714285715</c:v>
              </c:pt>
              <c:pt idx="29">
                <c:v>3.5918367346938775</c:v>
              </c:pt>
              <c:pt idx="30">
                <c:v>3.7122448979591836</c:v>
              </c:pt>
              <c:pt idx="31">
                <c:v>3.83265306122449</c:v>
              </c:pt>
              <c:pt idx="32">
                <c:v>3.953061224489796</c:v>
              </c:pt>
              <c:pt idx="33">
                <c:v>4.073469387755102</c:v>
              </c:pt>
              <c:pt idx="34">
                <c:v>4.1938775510204085</c:v>
              </c:pt>
              <c:pt idx="35">
                <c:v>4.3142857142857141</c:v>
              </c:pt>
              <c:pt idx="36">
                <c:v>4.4346938775510205</c:v>
              </c:pt>
              <c:pt idx="37">
                <c:v>4.555102040816327</c:v>
              </c:pt>
              <c:pt idx="38">
                <c:v>4.6755102040816325</c:v>
              </c:pt>
              <c:pt idx="39">
                <c:v>4.795918367346939</c:v>
              </c:pt>
              <c:pt idx="40">
                <c:v>4.9163265306122446</c:v>
              </c:pt>
              <c:pt idx="41">
                <c:v>5.036734693877551</c:v>
              </c:pt>
              <c:pt idx="42">
                <c:v>5.1571428571428575</c:v>
              </c:pt>
              <c:pt idx="43">
                <c:v>5.277551020408163</c:v>
              </c:pt>
              <c:pt idx="44">
                <c:v>5.3979591836734695</c:v>
              </c:pt>
              <c:pt idx="45">
                <c:v>5.518367346938776</c:v>
              </c:pt>
              <c:pt idx="46">
                <c:v>5.6387755102040815</c:v>
              </c:pt>
              <c:pt idx="47">
                <c:v>5.759183673469388</c:v>
              </c:pt>
              <c:pt idx="48">
                <c:v>5.8795918367346935</c:v>
              </c:pt>
              <c:pt idx="49">
                <c:v>6</c:v>
              </c:pt>
            </c:numLit>
          </c:xVal>
          <c:yVal>
            <c:numLit>
              <c:formatCode>General</c:formatCode>
              <c:ptCount val="50"/>
              <c:pt idx="0">
                <c:v>73.134276723896761</c:v>
              </c:pt>
              <c:pt idx="1">
                <c:v>79.99823972655885</c:v>
              </c:pt>
              <c:pt idx="2">
                <c:v>83.783059713087908</c:v>
              </c:pt>
              <c:pt idx="3">
                <c:v>86.409420926223689</c:v>
              </c:pt>
              <c:pt idx="4">
                <c:v>88.422227376408344</c:v>
              </c:pt>
              <c:pt idx="5">
                <c:v>90.054133240454235</c:v>
              </c:pt>
              <c:pt idx="6">
                <c:v>91.426255704454334</c:v>
              </c:pt>
              <c:pt idx="7">
                <c:v>92.609740865186225</c:v>
              </c:pt>
              <c:pt idx="8">
                <c:v>93.64995857230879</c:v>
              </c:pt>
              <c:pt idx="9">
                <c:v>94.57762290965465</c:v>
              </c:pt>
              <c:pt idx="10">
                <c:v>95.414495313464556</c:v>
              </c:pt>
              <c:pt idx="11">
                <c:v>96.176557894483466</c:v>
              </c:pt>
              <c:pt idx="12">
                <c:v>96.875894503568418</c:v>
              </c:pt>
              <c:pt idx="13">
                <c:v>97.521863740013956</c:v>
              </c:pt>
              <c:pt idx="14">
                <c:v>98.121861456575758</c:v>
              </c:pt>
              <c:pt idx="15">
                <c:v>98.681833931747192</c:v>
              </c:pt>
              <c:pt idx="16">
                <c:v>99.206633567891799</c:v>
              </c:pt>
              <c:pt idx="17">
                <c:v>99.700271765000466</c:v>
              </c:pt>
              <c:pt idx="18">
                <c:v>100.16610269794832</c:v>
              </c:pt>
              <c:pt idx="19">
                <c:v>100.60695948436215</c:v>
              </c:pt>
              <c:pt idx="20">
                <c:v>101.025256817299</c:v>
              </c:pt>
              <c:pt idx="21">
                <c:v>101.42306950999979</c:v>
              </c:pt>
              <c:pt idx="22">
                <c:v>101.80219343376069</c:v>
              </c:pt>
              <c:pt idx="23">
                <c:v>102.16419338257715</c:v>
              </c:pt>
              <c:pt idx="24">
                <c:v>102.51044109212674</c:v>
              </c:pt>
              <c:pt idx="25">
                <c:v>102.84214574764196</c:v>
              </c:pt>
              <c:pt idx="26">
                <c:v>103.16037869388661</c:v>
              </c:pt>
              <c:pt idx="27">
                <c:v>103.46609362120014</c:v>
              </c:pt>
              <c:pt idx="28">
                <c:v>103.76014318649834</c:v>
              </c:pt>
              <c:pt idx="29">
                <c:v>104.04329279906823</c:v>
              </c:pt>
              <c:pt idx="30">
                <c:v>104.31623213241622</c:v>
              </c:pt>
              <c:pt idx="31">
                <c:v>104.57958479793274</c:v>
              </c:pt>
              <c:pt idx="32">
                <c:v>104.83391652172048</c:v>
              </c:pt>
              <c:pt idx="33">
                <c:v>105.07974209419572</c:v>
              </c:pt>
              <c:pt idx="34">
                <c:v>105.31753130706389</c:v>
              </c:pt>
              <c:pt idx="35">
                <c:v>105.54771404972675</c:v>
              </c:pt>
              <c:pt idx="36">
                <c:v>105.7706847040086</c:v>
              </c:pt>
              <c:pt idx="37">
                <c:v>105.98680595003148</c:v>
              </c:pt>
              <c:pt idx="38">
                <c:v>106.19641207545419</c:v>
              </c:pt>
              <c:pt idx="39">
                <c:v>106.39981186386956</c:v>
              </c:pt>
              <c:pt idx="40">
                <c:v>106.59729112499332</c:v>
              </c:pt>
              <c:pt idx="41">
                <c:v>106.78911491866523</c:v>
              </c:pt>
              <c:pt idx="42">
                <c:v>106.97552951607716</c:v>
              </c:pt>
              <c:pt idx="43">
                <c:v>107.15676413462711</c:v>
              </c:pt>
              <c:pt idx="44">
                <c:v>107.33303247704745</c:v>
              </c:pt>
              <c:pt idx="45">
                <c:v>107.50453410072214</c:v>
              </c:pt>
              <c:pt idx="46">
                <c:v>107.67145563919024</c:v>
              </c:pt>
              <c:pt idx="47">
                <c:v>107.83397189457946</c:v>
              </c:pt>
              <c:pt idx="48">
                <c:v>107.99224681699707</c:v>
              </c:pt>
              <c:pt idx="49">
                <c:v>108.14643438463088</c:v>
              </c:pt>
            </c:numLit>
          </c:yVal>
          <c:smooth val="0"/>
          <c:extLst>
            <c:ext xmlns:c16="http://schemas.microsoft.com/office/drawing/2014/chart" uri="{C3380CC4-5D6E-409C-BE32-E72D297353CC}">
              <c16:uniqueId val="{00000000-635B-43C1-B59B-D21EDAA20184}"/>
            </c:ext>
          </c:extLst>
        </c:ser>
        <c:dLbls>
          <c:showLegendKey val="0"/>
          <c:showVal val="0"/>
          <c:showCatName val="0"/>
          <c:showSerName val="0"/>
          <c:showPercent val="0"/>
          <c:showBubbleSize val="0"/>
        </c:dLbls>
        <c:axId val="936467264"/>
        <c:axId val="936462016"/>
      </c:scatterChart>
      <c:valAx>
        <c:axId val="93646726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Antenna Diameter [m]</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36462016"/>
        <c:crosses val="autoZero"/>
        <c:crossBetween val="midCat"/>
      </c:valAx>
      <c:valAx>
        <c:axId val="93646201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 Link Margin</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364672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Link Margin Variation Vs Antenna Diameter and Transmitter Power</a:t>
            </a:r>
          </a:p>
        </c:rich>
      </c:tx>
      <c:overlay val="0"/>
      <c:spPr>
        <a:noFill/>
        <a:ln>
          <a:noFill/>
        </a:ln>
        <a:effectLst/>
      </c:spPr>
    </c:title>
    <c:autoTitleDeleted val="0"/>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surface3DChart>
        <c:wireframe val="0"/>
        <c:ser>
          <c:idx val="0"/>
          <c:order val="0"/>
          <c:tx>
            <c:v>10.3</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60.123976767256949</c:v>
              </c:pt>
              <c:pt idx="1">
                <c:v>66.987939769919052</c:v>
              </c:pt>
              <c:pt idx="2">
                <c:v>70.772759756448096</c:v>
              </c:pt>
              <c:pt idx="3">
                <c:v>73.39912096958389</c:v>
              </c:pt>
              <c:pt idx="4">
                <c:v>75.411927419768517</c:v>
              </c:pt>
              <c:pt idx="5">
                <c:v>77.043833283814422</c:v>
              </c:pt>
              <c:pt idx="6">
                <c:v>78.415955747814522</c:v>
              </c:pt>
              <c:pt idx="7">
                <c:v>79.599440908546413</c:v>
              </c:pt>
              <c:pt idx="8">
                <c:v>80.639658615668978</c:v>
              </c:pt>
              <c:pt idx="9">
                <c:v>81.567322953014838</c:v>
              </c:pt>
              <c:pt idx="10">
                <c:v>82.404195356824744</c:v>
              </c:pt>
              <c:pt idx="11">
                <c:v>83.166257937843653</c:v>
              </c:pt>
              <c:pt idx="12">
                <c:v>83.865594546928605</c:v>
              </c:pt>
              <c:pt idx="13">
                <c:v>84.511563783374143</c:v>
              </c:pt>
              <c:pt idx="14">
                <c:v>85.111561499935945</c:v>
              </c:pt>
              <c:pt idx="15">
                <c:v>85.67153397510738</c:v>
              </c:pt>
              <c:pt idx="16">
                <c:v>86.196333611251987</c:v>
              </c:pt>
              <c:pt idx="17">
                <c:v>86.689971808360653</c:v>
              </c:pt>
              <c:pt idx="18">
                <c:v>87.155802741308506</c:v>
              </c:pt>
              <c:pt idx="19">
                <c:v>87.596659527722352</c:v>
              </c:pt>
              <c:pt idx="20">
                <c:v>88.014956860659183</c:v>
              </c:pt>
              <c:pt idx="21">
                <c:v>88.412769553359979</c:v>
              </c:pt>
              <c:pt idx="22">
                <c:v>88.79189347712088</c:v>
              </c:pt>
              <c:pt idx="23">
                <c:v>89.153893425937341</c:v>
              </c:pt>
              <c:pt idx="24">
                <c:v>89.500141135486913</c:v>
              </c:pt>
              <c:pt idx="25">
                <c:v>89.831845791002152</c:v>
              </c:pt>
              <c:pt idx="26">
                <c:v>90.150078737246787</c:v>
              </c:pt>
              <c:pt idx="27">
                <c:v>90.455793664560332</c:v>
              </c:pt>
              <c:pt idx="28">
                <c:v>90.749843229858527</c:v>
              </c:pt>
              <c:pt idx="29">
                <c:v>91.032992842428399</c:v>
              </c:pt>
              <c:pt idx="30">
                <c:v>91.30593217577642</c:v>
              </c:pt>
              <c:pt idx="31">
                <c:v>91.569284841292941</c:v>
              </c:pt>
              <c:pt idx="32">
                <c:v>91.823616565080684</c:v>
              </c:pt>
              <c:pt idx="33">
                <c:v>92.06944213755591</c:v>
              </c:pt>
              <c:pt idx="34">
                <c:v>92.307231350424061</c:v>
              </c:pt>
              <c:pt idx="35">
                <c:v>92.537414093086937</c:v>
              </c:pt>
              <c:pt idx="36">
                <c:v>92.760384747368789</c:v>
              </c:pt>
              <c:pt idx="37">
                <c:v>92.976505993391669</c:v>
              </c:pt>
              <c:pt idx="38">
                <c:v>93.186112118814364</c:v>
              </c:pt>
              <c:pt idx="39">
                <c:v>93.389511907229746</c:v>
              </c:pt>
              <c:pt idx="40">
                <c:v>93.586991168353521</c:v>
              </c:pt>
              <c:pt idx="41">
                <c:v>93.778814962025436</c:v>
              </c:pt>
              <c:pt idx="42">
                <c:v>93.965229559437361</c:v>
              </c:pt>
              <c:pt idx="43">
                <c:v>94.146464177987298</c:v>
              </c:pt>
              <c:pt idx="44">
                <c:v>94.322732520407641</c:v>
              </c:pt>
              <c:pt idx="45">
                <c:v>94.494234144082327</c:v>
              </c:pt>
              <c:pt idx="46">
                <c:v>94.661155682550429</c:v>
              </c:pt>
              <c:pt idx="47">
                <c:v>94.823671937939665</c:v>
              </c:pt>
              <c:pt idx="48">
                <c:v>94.98194686035724</c:v>
              </c:pt>
              <c:pt idx="49">
                <c:v>95.136134427991053</c:v>
              </c:pt>
            </c:numLit>
          </c:val>
          <c:extLst>
            <c:ext xmlns:c16="http://schemas.microsoft.com/office/drawing/2014/chart" uri="{C3380CC4-5D6E-409C-BE32-E72D297353CC}">
              <c16:uniqueId val="{00000000-8528-4EC3-BA84-58A13B9AFE50}"/>
            </c:ext>
          </c:extLst>
        </c:ser>
        <c:ser>
          <c:idx val="1"/>
          <c:order val="1"/>
          <c:tx>
            <c:v>20.5</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80.253209429332614</c:v>
              </c:pt>
              <c:pt idx="1">
                <c:v>87.117172431994689</c:v>
              </c:pt>
              <c:pt idx="2">
                <c:v>90.901992418523747</c:v>
              </c:pt>
              <c:pt idx="3">
                <c:v>93.528353631659527</c:v>
              </c:pt>
              <c:pt idx="4">
                <c:v>95.541160081844183</c:v>
              </c:pt>
              <c:pt idx="5">
                <c:v>97.173065945890073</c:v>
              </c:pt>
              <c:pt idx="6">
                <c:v>98.545188409890173</c:v>
              </c:pt>
              <c:pt idx="7">
                <c:v>99.728673570622036</c:v>
              </c:pt>
              <c:pt idx="8">
                <c:v>100.76889127774463</c:v>
              </c:pt>
              <c:pt idx="9">
                <c:v>101.69655561509049</c:v>
              </c:pt>
              <c:pt idx="10">
                <c:v>102.53342801890039</c:v>
              </c:pt>
              <c:pt idx="11">
                <c:v>103.2954905999193</c:v>
              </c:pt>
              <c:pt idx="12">
                <c:v>103.99482720900426</c:v>
              </c:pt>
              <c:pt idx="13">
                <c:v>104.64079644544978</c:v>
              </c:pt>
              <c:pt idx="14">
                <c:v>105.24079416201158</c:v>
              </c:pt>
              <c:pt idx="15">
                <c:v>105.80076663718302</c:v>
              </c:pt>
              <c:pt idx="16">
                <c:v>106.32556627332764</c:v>
              </c:pt>
              <c:pt idx="17">
                <c:v>106.81920447043632</c:v>
              </c:pt>
              <c:pt idx="18">
                <c:v>107.28503540338414</c:v>
              </c:pt>
              <c:pt idx="19">
                <c:v>107.72589218979797</c:v>
              </c:pt>
              <c:pt idx="20">
                <c:v>108.14418952273482</c:v>
              </c:pt>
              <c:pt idx="21">
                <c:v>108.54200221543562</c:v>
              </c:pt>
              <c:pt idx="22">
                <c:v>108.92112613919653</c:v>
              </c:pt>
              <c:pt idx="23">
                <c:v>109.28312608801298</c:v>
              </c:pt>
              <c:pt idx="24">
                <c:v>109.62937379756255</c:v>
              </c:pt>
              <c:pt idx="25">
                <c:v>109.96107845307779</c:v>
              </c:pt>
              <c:pt idx="26">
                <c:v>110.27931139932244</c:v>
              </c:pt>
              <c:pt idx="27">
                <c:v>110.58502632663598</c:v>
              </c:pt>
              <c:pt idx="28">
                <c:v>110.87907589193418</c:v>
              </c:pt>
              <c:pt idx="29">
                <c:v>111.16222550450405</c:v>
              </c:pt>
              <c:pt idx="30">
                <c:v>111.43516483785203</c:v>
              </c:pt>
              <c:pt idx="31">
                <c:v>111.69851750336858</c:v>
              </c:pt>
              <c:pt idx="32">
                <c:v>111.95284922715632</c:v>
              </c:pt>
              <c:pt idx="33">
                <c:v>112.19867479963156</c:v>
              </c:pt>
              <c:pt idx="34">
                <c:v>112.4364640124997</c:v>
              </c:pt>
              <c:pt idx="35">
                <c:v>112.66664675516259</c:v>
              </c:pt>
              <c:pt idx="36">
                <c:v>112.88961740944444</c:v>
              </c:pt>
              <c:pt idx="37">
                <c:v>113.10573865546732</c:v>
              </c:pt>
              <c:pt idx="38">
                <c:v>113.31534478089003</c:v>
              </c:pt>
              <c:pt idx="39">
                <c:v>113.5187445693054</c:v>
              </c:pt>
              <c:pt idx="40">
                <c:v>113.71622383042916</c:v>
              </c:pt>
              <c:pt idx="41">
                <c:v>113.90804762410107</c:v>
              </c:pt>
              <c:pt idx="42">
                <c:v>114.09446222151297</c:v>
              </c:pt>
              <c:pt idx="43">
                <c:v>114.27569684006295</c:v>
              </c:pt>
              <c:pt idx="44">
                <c:v>114.45196518248329</c:v>
              </c:pt>
              <c:pt idx="45">
                <c:v>114.62346680615798</c:v>
              </c:pt>
              <c:pt idx="46">
                <c:v>114.79038834462608</c:v>
              </c:pt>
              <c:pt idx="47">
                <c:v>114.9529046000153</c:v>
              </c:pt>
              <c:pt idx="48">
                <c:v>115.11117952243291</c:v>
              </c:pt>
              <c:pt idx="49">
                <c:v>115.26536709006672</c:v>
              </c:pt>
            </c:numLit>
          </c:val>
          <c:extLst>
            <c:ext xmlns:c16="http://schemas.microsoft.com/office/drawing/2014/chart" uri="{C3380CC4-5D6E-409C-BE32-E72D297353CC}">
              <c16:uniqueId val="{00000001-8528-4EC3-BA84-58A13B9AFE50}"/>
            </c:ext>
          </c:extLst>
        </c:ser>
        <c:ser>
          <c:idx val="2"/>
          <c:order val="2"/>
          <c:tx>
            <c:v>30.7</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83.242379989567112</c:v>
              </c:pt>
              <c:pt idx="1">
                <c:v>90.106342992229187</c:v>
              </c:pt>
              <c:pt idx="2">
                <c:v>93.891162978758246</c:v>
              </c:pt>
              <c:pt idx="3">
                <c:v>96.517524191894026</c:v>
              </c:pt>
              <c:pt idx="4">
                <c:v>98.530330642078681</c:v>
              </c:pt>
              <c:pt idx="5">
                <c:v>100.16223650612457</c:v>
              </c:pt>
              <c:pt idx="6">
                <c:v>101.53435897012467</c:v>
              </c:pt>
              <c:pt idx="7">
                <c:v>102.71784413085656</c:v>
              </c:pt>
              <c:pt idx="8">
                <c:v>103.75806183797913</c:v>
              </c:pt>
              <c:pt idx="9">
                <c:v>104.68572617532499</c:v>
              </c:pt>
              <c:pt idx="10">
                <c:v>105.52259857913492</c:v>
              </c:pt>
              <c:pt idx="11">
                <c:v>106.2846611601538</c:v>
              </c:pt>
              <c:pt idx="12">
                <c:v>106.98399776923875</c:v>
              </c:pt>
              <c:pt idx="13">
                <c:v>107.62996700568431</c:v>
              </c:pt>
              <c:pt idx="14">
                <c:v>108.22996472224611</c:v>
              </c:pt>
              <c:pt idx="15">
                <c:v>108.78993719741754</c:v>
              </c:pt>
              <c:pt idx="16">
                <c:v>109.31473683356216</c:v>
              </c:pt>
              <c:pt idx="17">
                <c:v>109.80837503067079</c:v>
              </c:pt>
              <c:pt idx="18">
                <c:v>110.27420596361867</c:v>
              </c:pt>
              <c:pt idx="19">
                <c:v>110.7150627500325</c:v>
              </c:pt>
              <c:pt idx="20">
                <c:v>111.13336008296932</c:v>
              </c:pt>
              <c:pt idx="21">
                <c:v>111.53117277567014</c:v>
              </c:pt>
              <c:pt idx="22">
                <c:v>111.91029669943103</c:v>
              </c:pt>
              <c:pt idx="23">
                <c:v>112.2722966482475</c:v>
              </c:pt>
              <c:pt idx="24">
                <c:v>112.61854435779708</c:v>
              </c:pt>
              <c:pt idx="25">
                <c:v>112.95024901331232</c:v>
              </c:pt>
              <c:pt idx="26">
                <c:v>113.26848195955696</c:v>
              </c:pt>
              <c:pt idx="27">
                <c:v>113.57419688687048</c:v>
              </c:pt>
              <c:pt idx="28">
                <c:v>113.86824645216868</c:v>
              </c:pt>
              <c:pt idx="29">
                <c:v>114.15139606473858</c:v>
              </c:pt>
              <c:pt idx="30">
                <c:v>114.42433539808655</c:v>
              </c:pt>
              <c:pt idx="31">
                <c:v>114.6876880636031</c:v>
              </c:pt>
              <c:pt idx="32">
                <c:v>114.94201978739085</c:v>
              </c:pt>
              <c:pt idx="33">
                <c:v>115.18784535986606</c:v>
              </c:pt>
              <c:pt idx="34">
                <c:v>115.42563457273423</c:v>
              </c:pt>
              <c:pt idx="35">
                <c:v>115.65581731539709</c:v>
              </c:pt>
              <c:pt idx="36">
                <c:v>115.87878796967894</c:v>
              </c:pt>
              <c:pt idx="37">
                <c:v>116.09490921570182</c:v>
              </c:pt>
              <c:pt idx="38">
                <c:v>116.30451534112453</c:v>
              </c:pt>
              <c:pt idx="39">
                <c:v>116.5079151295399</c:v>
              </c:pt>
              <c:pt idx="40">
                <c:v>116.70539439066368</c:v>
              </c:pt>
              <c:pt idx="41">
                <c:v>116.8972181843356</c:v>
              </c:pt>
              <c:pt idx="42">
                <c:v>117.0836327817475</c:v>
              </c:pt>
              <c:pt idx="43">
                <c:v>117.26486740029745</c:v>
              </c:pt>
              <c:pt idx="44">
                <c:v>117.44113574271779</c:v>
              </c:pt>
              <c:pt idx="45">
                <c:v>117.61263736639248</c:v>
              </c:pt>
              <c:pt idx="46">
                <c:v>117.77955890486058</c:v>
              </c:pt>
              <c:pt idx="47">
                <c:v>117.94207516024983</c:v>
              </c:pt>
              <c:pt idx="48">
                <c:v>118.10035008266738</c:v>
              </c:pt>
              <c:pt idx="49">
                <c:v>118.25453765030119</c:v>
              </c:pt>
            </c:numLit>
          </c:val>
          <c:extLst>
            <c:ext xmlns:c16="http://schemas.microsoft.com/office/drawing/2014/chart" uri="{C3380CC4-5D6E-409C-BE32-E72D297353CC}">
              <c16:uniqueId val="{00000002-8528-4EC3-BA84-58A13B9AFE50}"/>
            </c:ext>
          </c:extLst>
        </c:ser>
        <c:ser>
          <c:idx val="3"/>
          <c:order val="3"/>
          <c:tx>
            <c:v>40.9</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84.996226541803523</c:v>
              </c:pt>
              <c:pt idx="1">
                <c:v>91.860189544465598</c:v>
              </c:pt>
              <c:pt idx="2">
                <c:v>95.645009530994656</c:v>
              </c:pt>
              <c:pt idx="3">
                <c:v>98.271370744130436</c:v>
              </c:pt>
              <c:pt idx="4">
                <c:v>100.28417719431509</c:v>
              </c:pt>
              <c:pt idx="5">
                <c:v>101.91608305836097</c:v>
              </c:pt>
              <c:pt idx="6">
                <c:v>103.28820552236108</c:v>
              </c:pt>
              <c:pt idx="7">
                <c:v>104.47169068309296</c:v>
              </c:pt>
              <c:pt idx="8">
                <c:v>105.51190839021552</c:v>
              </c:pt>
              <c:pt idx="9">
                <c:v>106.4395727275614</c:v>
              </c:pt>
              <c:pt idx="10">
                <c:v>107.2764451313713</c:v>
              </c:pt>
              <c:pt idx="11">
                <c:v>108.03850771239021</c:v>
              </c:pt>
              <c:pt idx="12">
                <c:v>108.73784432147517</c:v>
              </c:pt>
              <c:pt idx="13">
                <c:v>109.38381355792069</c:v>
              </c:pt>
              <c:pt idx="14">
                <c:v>109.98381127448249</c:v>
              </c:pt>
              <c:pt idx="15">
                <c:v>110.54378374965393</c:v>
              </c:pt>
              <c:pt idx="16">
                <c:v>111.06858338579855</c:v>
              </c:pt>
              <c:pt idx="17">
                <c:v>111.56222158290723</c:v>
              </c:pt>
              <c:pt idx="18">
                <c:v>112.02805251585505</c:v>
              </c:pt>
              <c:pt idx="19">
                <c:v>112.46890930226888</c:v>
              </c:pt>
              <c:pt idx="20">
                <c:v>112.88720663520573</c:v>
              </c:pt>
              <c:pt idx="21">
                <c:v>113.28501932790653</c:v>
              </c:pt>
              <c:pt idx="22">
                <c:v>113.66414325166744</c:v>
              </c:pt>
              <c:pt idx="23">
                <c:v>114.02614320048389</c:v>
              </c:pt>
              <c:pt idx="24">
                <c:v>114.37239091003346</c:v>
              </c:pt>
              <c:pt idx="25">
                <c:v>114.7040955655487</c:v>
              </c:pt>
              <c:pt idx="26">
                <c:v>115.02232851179335</c:v>
              </c:pt>
              <c:pt idx="27">
                <c:v>115.32804343910689</c:v>
              </c:pt>
              <c:pt idx="28">
                <c:v>115.62209300440509</c:v>
              </c:pt>
              <c:pt idx="29">
                <c:v>115.90524261697496</c:v>
              </c:pt>
              <c:pt idx="30">
                <c:v>116.17818195032294</c:v>
              </c:pt>
              <c:pt idx="31">
                <c:v>116.44153461583949</c:v>
              </c:pt>
              <c:pt idx="32">
                <c:v>116.69586633962723</c:v>
              </c:pt>
              <c:pt idx="33">
                <c:v>116.94169191210247</c:v>
              </c:pt>
              <c:pt idx="34">
                <c:v>117.17948112497061</c:v>
              </c:pt>
              <c:pt idx="35">
                <c:v>117.4096638676335</c:v>
              </c:pt>
              <c:pt idx="36">
                <c:v>117.63263452191535</c:v>
              </c:pt>
              <c:pt idx="37">
                <c:v>117.84875576793823</c:v>
              </c:pt>
              <c:pt idx="38">
                <c:v>118.05836189336094</c:v>
              </c:pt>
              <c:pt idx="39">
                <c:v>118.26176168177631</c:v>
              </c:pt>
              <c:pt idx="40">
                <c:v>118.45924094290007</c:v>
              </c:pt>
              <c:pt idx="41">
                <c:v>118.65106473657198</c:v>
              </c:pt>
              <c:pt idx="42">
                <c:v>118.83747933398388</c:v>
              </c:pt>
              <c:pt idx="43">
                <c:v>119.01871395253386</c:v>
              </c:pt>
              <c:pt idx="44">
                <c:v>119.1949822949542</c:v>
              </c:pt>
              <c:pt idx="45">
                <c:v>119.36648391862889</c:v>
              </c:pt>
              <c:pt idx="46">
                <c:v>119.53340545709699</c:v>
              </c:pt>
              <c:pt idx="47">
                <c:v>119.69592171248621</c:v>
              </c:pt>
              <c:pt idx="48">
                <c:v>119.85419663490381</c:v>
              </c:pt>
              <c:pt idx="49">
                <c:v>120.00838420253763</c:v>
              </c:pt>
            </c:numLit>
          </c:val>
          <c:extLst>
            <c:ext xmlns:c16="http://schemas.microsoft.com/office/drawing/2014/chart" uri="{C3380CC4-5D6E-409C-BE32-E72D297353CC}">
              <c16:uniqueId val="{00000003-8528-4EC3-BA84-58A13B9AFE50}"/>
            </c:ext>
          </c:extLst>
        </c:ser>
        <c:ser>
          <c:idx val="4"/>
          <c:order val="4"/>
          <c:tx>
            <c:v>51.1</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86.242076572837234</c:v>
              </c:pt>
              <c:pt idx="1">
                <c:v>93.10603957549931</c:v>
              </c:pt>
              <c:pt idx="2">
                <c:v>96.890859562028368</c:v>
              </c:pt>
              <c:pt idx="3">
                <c:v>99.517220775164148</c:v>
              </c:pt>
              <c:pt idx="4">
                <c:v>101.5300272253488</c:v>
              </c:pt>
              <c:pt idx="5">
                <c:v>103.16193308939468</c:v>
              </c:pt>
              <c:pt idx="6">
                <c:v>104.53405555339481</c:v>
              </c:pt>
              <c:pt idx="7">
                <c:v>105.71754071412667</c:v>
              </c:pt>
              <c:pt idx="8">
                <c:v>106.75775842124926</c:v>
              </c:pt>
              <c:pt idx="9">
                <c:v>107.68542275859511</c:v>
              </c:pt>
              <c:pt idx="10">
                <c:v>108.52229516240502</c:v>
              </c:pt>
              <c:pt idx="11">
                <c:v>109.28435774342393</c:v>
              </c:pt>
              <c:pt idx="12">
                <c:v>109.98369435250888</c:v>
              </c:pt>
              <c:pt idx="13">
                <c:v>110.62966358895443</c:v>
              </c:pt>
              <c:pt idx="14">
                <c:v>111.22966130551623</c:v>
              </c:pt>
              <c:pt idx="15">
                <c:v>111.78963378068767</c:v>
              </c:pt>
              <c:pt idx="16">
                <c:v>112.31443341683226</c:v>
              </c:pt>
              <c:pt idx="17">
                <c:v>112.80807161394091</c:v>
              </c:pt>
              <c:pt idx="18">
                <c:v>113.27390254688879</c:v>
              </c:pt>
              <c:pt idx="19">
                <c:v>113.7147593333026</c:v>
              </c:pt>
              <c:pt idx="20">
                <c:v>114.13305666623944</c:v>
              </c:pt>
              <c:pt idx="21">
                <c:v>114.53086935894027</c:v>
              </c:pt>
              <c:pt idx="22">
                <c:v>114.90999328270115</c:v>
              </c:pt>
              <c:pt idx="23">
                <c:v>115.27199323151763</c:v>
              </c:pt>
              <c:pt idx="24">
                <c:v>115.6182409410672</c:v>
              </c:pt>
              <c:pt idx="25">
                <c:v>115.94994559658244</c:v>
              </c:pt>
              <c:pt idx="26">
                <c:v>116.26817854282706</c:v>
              </c:pt>
              <c:pt idx="27">
                <c:v>116.5738934701406</c:v>
              </c:pt>
              <c:pt idx="28">
                <c:v>116.86794303543877</c:v>
              </c:pt>
              <c:pt idx="29">
                <c:v>117.15109264800867</c:v>
              </c:pt>
              <c:pt idx="30">
                <c:v>117.42403198135668</c:v>
              </c:pt>
              <c:pt idx="31">
                <c:v>117.6873846468732</c:v>
              </c:pt>
              <c:pt idx="32">
                <c:v>117.94171637066094</c:v>
              </c:pt>
              <c:pt idx="33">
                <c:v>118.18754194313618</c:v>
              </c:pt>
              <c:pt idx="34">
                <c:v>118.42533115600435</c:v>
              </c:pt>
              <c:pt idx="35">
                <c:v>118.65551389866721</c:v>
              </c:pt>
              <c:pt idx="36">
                <c:v>118.87848455294903</c:v>
              </c:pt>
              <c:pt idx="37">
                <c:v>119.09460579897194</c:v>
              </c:pt>
              <c:pt idx="38">
                <c:v>119.30421192439462</c:v>
              </c:pt>
              <c:pt idx="39">
                <c:v>119.50761171281002</c:v>
              </c:pt>
              <c:pt idx="40">
                <c:v>119.70509097393381</c:v>
              </c:pt>
              <c:pt idx="41">
                <c:v>119.89691476760569</c:v>
              </c:pt>
              <c:pt idx="42">
                <c:v>120.08332936501762</c:v>
              </c:pt>
              <c:pt idx="43">
                <c:v>120.26456398356754</c:v>
              </c:pt>
              <c:pt idx="44">
                <c:v>120.44083232598791</c:v>
              </c:pt>
              <c:pt idx="45">
                <c:v>120.6123339496626</c:v>
              </c:pt>
              <c:pt idx="46">
                <c:v>120.77925548813067</c:v>
              </c:pt>
              <c:pt idx="47">
                <c:v>120.94177174351995</c:v>
              </c:pt>
              <c:pt idx="48">
                <c:v>121.1000466659375</c:v>
              </c:pt>
              <c:pt idx="49">
                <c:v>121.25423423357131</c:v>
              </c:pt>
            </c:numLit>
          </c:val>
          <c:extLst>
            <c:ext xmlns:c16="http://schemas.microsoft.com/office/drawing/2014/chart" uri="{C3380CC4-5D6E-409C-BE32-E72D297353CC}">
              <c16:uniqueId val="{00000004-8528-4EC3-BA84-58A13B9AFE50}"/>
            </c:ext>
          </c:extLst>
        </c:ser>
        <c:ser>
          <c:idx val="5"/>
          <c:order val="5"/>
          <c:tx>
            <c:v>61.3</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87.209052918102614</c:v>
              </c:pt>
              <c:pt idx="1">
                <c:v>94.073015920764689</c:v>
              </c:pt>
              <c:pt idx="2">
                <c:v>97.857835907293747</c:v>
              </c:pt>
              <c:pt idx="3">
                <c:v>100.48419712042953</c:v>
              </c:pt>
              <c:pt idx="4">
                <c:v>102.49700357061418</c:v>
              </c:pt>
              <c:pt idx="5">
                <c:v>104.12890943466007</c:v>
              </c:pt>
              <c:pt idx="6">
                <c:v>105.50103189866019</c:v>
              </c:pt>
              <c:pt idx="7">
                <c:v>106.68451705939205</c:v>
              </c:pt>
              <c:pt idx="8">
                <c:v>107.72473476651464</c:v>
              </c:pt>
              <c:pt idx="9">
                <c:v>108.65239910386049</c:v>
              </c:pt>
              <c:pt idx="10">
                <c:v>109.4892715076704</c:v>
              </c:pt>
              <c:pt idx="11">
                <c:v>110.2513340886893</c:v>
              </c:pt>
              <c:pt idx="12">
                <c:v>110.95067069777426</c:v>
              </c:pt>
              <c:pt idx="13">
                <c:v>111.59663993421981</c:v>
              </c:pt>
              <c:pt idx="14">
                <c:v>112.19663765078161</c:v>
              </c:pt>
              <c:pt idx="15">
                <c:v>112.75661012595305</c:v>
              </c:pt>
              <c:pt idx="16">
                <c:v>113.28140976209764</c:v>
              </c:pt>
              <c:pt idx="17">
                <c:v>113.77504795920629</c:v>
              </c:pt>
              <c:pt idx="18">
                <c:v>114.24087889215417</c:v>
              </c:pt>
              <c:pt idx="19">
                <c:v>114.68173567856797</c:v>
              </c:pt>
              <c:pt idx="20">
                <c:v>115.10003301150482</c:v>
              </c:pt>
              <c:pt idx="21">
                <c:v>115.49784570420564</c:v>
              </c:pt>
              <c:pt idx="22">
                <c:v>115.87696962796653</c:v>
              </c:pt>
              <c:pt idx="23">
                <c:v>116.23896957678301</c:v>
              </c:pt>
              <c:pt idx="24">
                <c:v>116.58521728633258</c:v>
              </c:pt>
              <c:pt idx="25">
                <c:v>116.91692194184782</c:v>
              </c:pt>
              <c:pt idx="26">
                <c:v>117.23515488809244</c:v>
              </c:pt>
              <c:pt idx="27">
                <c:v>117.54086981540598</c:v>
              </c:pt>
              <c:pt idx="28">
                <c:v>117.83491938070418</c:v>
              </c:pt>
              <c:pt idx="29">
                <c:v>118.11806899327405</c:v>
              </c:pt>
              <c:pt idx="30">
                <c:v>118.39100832662206</c:v>
              </c:pt>
              <c:pt idx="31">
                <c:v>118.65436099213858</c:v>
              </c:pt>
              <c:pt idx="32">
                <c:v>118.90869271592632</c:v>
              </c:pt>
              <c:pt idx="33">
                <c:v>119.15451828840156</c:v>
              </c:pt>
              <c:pt idx="34">
                <c:v>119.39230750126973</c:v>
              </c:pt>
              <c:pt idx="35">
                <c:v>119.62249024393259</c:v>
              </c:pt>
              <c:pt idx="36">
                <c:v>119.84546089821444</c:v>
              </c:pt>
              <c:pt idx="37">
                <c:v>120.06158214423732</c:v>
              </c:pt>
              <c:pt idx="38">
                <c:v>120.27118826966</c:v>
              </c:pt>
              <c:pt idx="39">
                <c:v>120.4745880580754</c:v>
              </c:pt>
              <c:pt idx="40">
                <c:v>120.67206731919919</c:v>
              </c:pt>
              <c:pt idx="41">
                <c:v>120.86389111287107</c:v>
              </c:pt>
              <c:pt idx="42">
                <c:v>121.050305710283</c:v>
              </c:pt>
              <c:pt idx="43">
                <c:v>121.23154032883295</c:v>
              </c:pt>
              <c:pt idx="44">
                <c:v>121.40780867125329</c:v>
              </c:pt>
              <c:pt idx="45">
                <c:v>121.57931029492798</c:v>
              </c:pt>
              <c:pt idx="46">
                <c:v>121.74623183339608</c:v>
              </c:pt>
              <c:pt idx="47">
                <c:v>121.90874808878533</c:v>
              </c:pt>
              <c:pt idx="48">
                <c:v>122.06702301120288</c:v>
              </c:pt>
              <c:pt idx="49">
                <c:v>122.22121057883669</c:v>
              </c:pt>
            </c:numLit>
          </c:val>
          <c:extLst>
            <c:ext xmlns:c16="http://schemas.microsoft.com/office/drawing/2014/chart" uri="{C3380CC4-5D6E-409C-BE32-E72D297353CC}">
              <c16:uniqueId val="{00000005-8528-4EC3-BA84-58A13B9AFE50}"/>
            </c:ext>
          </c:extLst>
        </c:ser>
        <c:ser>
          <c:idx val="6"/>
          <c:order val="6"/>
          <c:tx>
            <c:v>71.5</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87.999448944831286</c:v>
              </c:pt>
              <c:pt idx="1">
                <c:v>94.863411947493361</c:v>
              </c:pt>
              <c:pt idx="2">
                <c:v>98.648231934022419</c:v>
              </c:pt>
              <c:pt idx="3">
                <c:v>101.2745931471582</c:v>
              </c:pt>
              <c:pt idx="4">
                <c:v>103.28739959734285</c:v>
              </c:pt>
              <c:pt idx="5">
                <c:v>104.91930546138875</c:v>
              </c:pt>
              <c:pt idx="6">
                <c:v>106.29142792538886</c:v>
              </c:pt>
              <c:pt idx="7">
                <c:v>107.47491308612072</c:v>
              </c:pt>
              <c:pt idx="8">
                <c:v>108.51513079324332</c:v>
              </c:pt>
              <c:pt idx="9">
                <c:v>109.44279513058916</c:v>
              </c:pt>
              <c:pt idx="10">
                <c:v>110.27966753439907</c:v>
              </c:pt>
              <c:pt idx="11">
                <c:v>111.04173011541798</c:v>
              </c:pt>
              <c:pt idx="12">
                <c:v>111.74106672450293</c:v>
              </c:pt>
              <c:pt idx="13">
                <c:v>112.38703596094848</c:v>
              </c:pt>
              <c:pt idx="14">
                <c:v>112.98703367751028</c:v>
              </c:pt>
              <c:pt idx="15">
                <c:v>113.54700615268172</c:v>
              </c:pt>
              <c:pt idx="16">
                <c:v>114.07180578882631</c:v>
              </c:pt>
              <c:pt idx="17">
                <c:v>114.56544398593496</c:v>
              </c:pt>
              <c:pt idx="18">
                <c:v>115.03127491888284</c:v>
              </c:pt>
              <c:pt idx="19">
                <c:v>115.47213170529665</c:v>
              </c:pt>
              <c:pt idx="20">
                <c:v>115.89042903823349</c:v>
              </c:pt>
              <c:pt idx="21">
                <c:v>116.28824173093432</c:v>
              </c:pt>
              <c:pt idx="22">
                <c:v>116.6673656546952</c:v>
              </c:pt>
              <c:pt idx="23">
                <c:v>117.02936560351168</c:v>
              </c:pt>
              <c:pt idx="24">
                <c:v>117.37561331306125</c:v>
              </c:pt>
              <c:pt idx="25">
                <c:v>117.70731796857649</c:v>
              </c:pt>
              <c:pt idx="26">
                <c:v>118.02555091482111</c:v>
              </c:pt>
              <c:pt idx="27">
                <c:v>118.33126584213466</c:v>
              </c:pt>
              <c:pt idx="28">
                <c:v>118.62531540743285</c:v>
              </c:pt>
              <c:pt idx="29">
                <c:v>118.90846502000272</c:v>
              </c:pt>
              <c:pt idx="30">
                <c:v>119.18140435335073</c:v>
              </c:pt>
              <c:pt idx="31">
                <c:v>119.44475701886725</c:v>
              </c:pt>
              <c:pt idx="32">
                <c:v>119.69908874265499</c:v>
              </c:pt>
              <c:pt idx="33">
                <c:v>119.94491431513023</c:v>
              </c:pt>
              <c:pt idx="34">
                <c:v>120.1827035279984</c:v>
              </c:pt>
              <c:pt idx="35">
                <c:v>120.41288627066126</c:v>
              </c:pt>
              <c:pt idx="36">
                <c:v>120.63585692494311</c:v>
              </c:pt>
              <c:pt idx="37">
                <c:v>120.85197817096599</c:v>
              </c:pt>
              <c:pt idx="38">
                <c:v>121.06158429638867</c:v>
              </c:pt>
              <c:pt idx="39">
                <c:v>121.26498408480407</c:v>
              </c:pt>
              <c:pt idx="40">
                <c:v>121.46246334592786</c:v>
              </c:pt>
              <c:pt idx="41">
                <c:v>121.65428713959975</c:v>
              </c:pt>
              <c:pt idx="42">
                <c:v>121.84070173701167</c:v>
              </c:pt>
              <c:pt idx="43">
                <c:v>122.02193635556162</c:v>
              </c:pt>
              <c:pt idx="44">
                <c:v>122.19820469798196</c:v>
              </c:pt>
              <c:pt idx="45">
                <c:v>122.36970632165665</c:v>
              </c:pt>
              <c:pt idx="46">
                <c:v>122.53662786012475</c:v>
              </c:pt>
              <c:pt idx="47">
                <c:v>122.699144115514</c:v>
              </c:pt>
              <c:pt idx="48">
                <c:v>122.85741903793155</c:v>
              </c:pt>
              <c:pt idx="49">
                <c:v>123.01160660556536</c:v>
              </c:pt>
            </c:numLit>
          </c:val>
          <c:extLst>
            <c:ext xmlns:c16="http://schemas.microsoft.com/office/drawing/2014/chart" uri="{C3380CC4-5D6E-409C-BE32-E72D297353CC}">
              <c16:uniqueId val="{00000006-8528-4EC3-BA84-58A13B9AFE50}"/>
            </c:ext>
          </c:extLst>
        </c:ser>
        <c:ser>
          <c:idx val="7"/>
          <c:order val="7"/>
          <c:tx>
            <c:v>81.7</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88.667904819836437</c:v>
              </c:pt>
              <c:pt idx="1">
                <c:v>95.531867822498512</c:v>
              </c:pt>
              <c:pt idx="2">
                <c:v>99.31668780902757</c:v>
              </c:pt>
              <c:pt idx="3">
                <c:v>101.94304902216335</c:v>
              </c:pt>
              <c:pt idx="4">
                <c:v>103.95585547234801</c:v>
              </c:pt>
              <c:pt idx="5">
                <c:v>105.5877613363939</c:v>
              </c:pt>
              <c:pt idx="6">
                <c:v>106.95988380039398</c:v>
              </c:pt>
              <c:pt idx="7">
                <c:v>108.14336896112587</c:v>
              </c:pt>
              <c:pt idx="8">
                <c:v>109.18358666824844</c:v>
              </c:pt>
              <c:pt idx="9">
                <c:v>110.11125100559431</c:v>
              </c:pt>
              <c:pt idx="10">
                <c:v>110.94812340940422</c:v>
              </c:pt>
              <c:pt idx="11">
                <c:v>111.71018599042313</c:v>
              </c:pt>
              <c:pt idx="12">
                <c:v>112.40952259950808</c:v>
              </c:pt>
              <c:pt idx="13">
                <c:v>113.0554918359536</c:v>
              </c:pt>
              <c:pt idx="14">
                <c:v>113.65548955251543</c:v>
              </c:pt>
              <c:pt idx="15">
                <c:v>114.21546202768684</c:v>
              </c:pt>
              <c:pt idx="16">
                <c:v>114.74026166383146</c:v>
              </c:pt>
              <c:pt idx="17">
                <c:v>115.23389986094014</c:v>
              </c:pt>
              <c:pt idx="18">
                <c:v>115.69973079388797</c:v>
              </c:pt>
              <c:pt idx="19">
                <c:v>116.14058758030183</c:v>
              </c:pt>
              <c:pt idx="20">
                <c:v>116.55888491323867</c:v>
              </c:pt>
              <c:pt idx="21">
                <c:v>116.95669760593944</c:v>
              </c:pt>
              <c:pt idx="22">
                <c:v>117.33582152970035</c:v>
              </c:pt>
              <c:pt idx="23">
                <c:v>117.6978214785168</c:v>
              </c:pt>
              <c:pt idx="24">
                <c:v>118.0440691880664</c:v>
              </c:pt>
              <c:pt idx="25">
                <c:v>118.37577384358161</c:v>
              </c:pt>
              <c:pt idx="26">
                <c:v>118.69400678982629</c:v>
              </c:pt>
              <c:pt idx="27">
                <c:v>118.99972171713981</c:v>
              </c:pt>
              <c:pt idx="28">
                <c:v>119.293771282438</c:v>
              </c:pt>
              <c:pt idx="29">
                <c:v>119.5769208950079</c:v>
              </c:pt>
              <c:pt idx="30">
                <c:v>119.84986022835588</c:v>
              </c:pt>
              <c:pt idx="31">
                <c:v>120.1132128938724</c:v>
              </c:pt>
              <c:pt idx="32">
                <c:v>120.36754461766014</c:v>
              </c:pt>
              <c:pt idx="33">
                <c:v>120.61337019013538</c:v>
              </c:pt>
              <c:pt idx="34">
                <c:v>120.85115940300355</c:v>
              </c:pt>
              <c:pt idx="35">
                <c:v>121.08134214566641</c:v>
              </c:pt>
              <c:pt idx="36">
                <c:v>121.30431279994826</c:v>
              </c:pt>
              <c:pt idx="37">
                <c:v>121.52043404597114</c:v>
              </c:pt>
              <c:pt idx="38">
                <c:v>121.73004017139385</c:v>
              </c:pt>
              <c:pt idx="39">
                <c:v>121.93343995980922</c:v>
              </c:pt>
              <c:pt idx="40">
                <c:v>122.13091922093298</c:v>
              </c:pt>
              <c:pt idx="41">
                <c:v>122.3227430146049</c:v>
              </c:pt>
              <c:pt idx="42">
                <c:v>122.50915761201682</c:v>
              </c:pt>
              <c:pt idx="43">
                <c:v>122.69039223056677</c:v>
              </c:pt>
              <c:pt idx="44">
                <c:v>122.86666057298712</c:v>
              </c:pt>
              <c:pt idx="45">
                <c:v>123.0381621966618</c:v>
              </c:pt>
              <c:pt idx="46">
                <c:v>123.2050837351299</c:v>
              </c:pt>
              <c:pt idx="47">
                <c:v>123.36759999051912</c:v>
              </c:pt>
              <c:pt idx="48">
                <c:v>123.52587491293673</c:v>
              </c:pt>
              <c:pt idx="49">
                <c:v>123.68006248057054</c:v>
              </c:pt>
            </c:numLit>
          </c:val>
          <c:extLst>
            <c:ext xmlns:c16="http://schemas.microsoft.com/office/drawing/2014/chart" uri="{C3380CC4-5D6E-409C-BE32-E72D297353CC}">
              <c16:uniqueId val="{00000007-8528-4EC3-BA84-58A13B9AFE50}"/>
            </c:ext>
          </c:extLst>
        </c:ser>
        <c:ser>
          <c:idx val="8"/>
          <c:order val="8"/>
          <c:tx>
            <c:v>91.9</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89.247065118845526</c:v>
              </c:pt>
              <c:pt idx="1">
                <c:v>96.111028121507601</c:v>
              </c:pt>
              <c:pt idx="2">
                <c:v>99.89584810803666</c:v>
              </c:pt>
              <c:pt idx="3">
                <c:v>102.52220932117244</c:v>
              </c:pt>
              <c:pt idx="4">
                <c:v>104.53501577135711</c:v>
              </c:pt>
              <c:pt idx="5">
                <c:v>106.16692163540296</c:v>
              </c:pt>
              <c:pt idx="6">
                <c:v>107.5390440994031</c:v>
              </c:pt>
              <c:pt idx="7">
                <c:v>108.72252926013493</c:v>
              </c:pt>
              <c:pt idx="8">
                <c:v>109.76274696725756</c:v>
              </c:pt>
              <c:pt idx="9">
                <c:v>110.6904113046034</c:v>
              </c:pt>
              <c:pt idx="10">
                <c:v>111.52728370841331</c:v>
              </c:pt>
              <c:pt idx="11">
                <c:v>112.28934628943222</c:v>
              </c:pt>
              <c:pt idx="12">
                <c:v>112.98868289851717</c:v>
              </c:pt>
              <c:pt idx="13">
                <c:v>113.63465213496272</c:v>
              </c:pt>
              <c:pt idx="14">
                <c:v>114.23464985152452</c:v>
              </c:pt>
              <c:pt idx="15">
                <c:v>114.79462232669596</c:v>
              </c:pt>
              <c:pt idx="16">
                <c:v>115.31942196284055</c:v>
              </c:pt>
              <c:pt idx="17">
                <c:v>115.8130601599492</c:v>
              </c:pt>
              <c:pt idx="18">
                <c:v>116.27889109289708</c:v>
              </c:pt>
              <c:pt idx="19">
                <c:v>116.71974787931089</c:v>
              </c:pt>
              <c:pt idx="20">
                <c:v>117.13804521224773</c:v>
              </c:pt>
              <c:pt idx="21">
                <c:v>117.53585790494856</c:v>
              </c:pt>
              <c:pt idx="22">
                <c:v>117.91498182870944</c:v>
              </c:pt>
              <c:pt idx="23">
                <c:v>118.27698177752592</c:v>
              </c:pt>
              <c:pt idx="24">
                <c:v>118.62322948707549</c:v>
              </c:pt>
              <c:pt idx="25">
                <c:v>118.95493414259073</c:v>
              </c:pt>
              <c:pt idx="26">
                <c:v>119.27316708883535</c:v>
              </c:pt>
              <c:pt idx="27">
                <c:v>119.5788820161489</c:v>
              </c:pt>
              <c:pt idx="28">
                <c:v>119.87293158144706</c:v>
              </c:pt>
              <c:pt idx="29">
                <c:v>120.15608119401696</c:v>
              </c:pt>
              <c:pt idx="30">
                <c:v>120.42902052736497</c:v>
              </c:pt>
              <c:pt idx="31">
                <c:v>120.69237319288146</c:v>
              </c:pt>
              <c:pt idx="32">
                <c:v>120.9467049166692</c:v>
              </c:pt>
              <c:pt idx="33">
                <c:v>121.19253048914447</c:v>
              </c:pt>
              <c:pt idx="34">
                <c:v>121.43031970201264</c:v>
              </c:pt>
              <c:pt idx="35">
                <c:v>121.6605024446755</c:v>
              </c:pt>
              <c:pt idx="36">
                <c:v>121.88347309895732</c:v>
              </c:pt>
              <c:pt idx="37">
                <c:v>122.09959434498023</c:v>
              </c:pt>
              <c:pt idx="38">
                <c:v>122.30920047040291</c:v>
              </c:pt>
              <c:pt idx="39">
                <c:v>122.51260025881831</c:v>
              </c:pt>
              <c:pt idx="40">
                <c:v>122.7100795199421</c:v>
              </c:pt>
              <c:pt idx="41">
                <c:v>122.90190331361396</c:v>
              </c:pt>
              <c:pt idx="42">
                <c:v>123.08831791102591</c:v>
              </c:pt>
              <c:pt idx="43">
                <c:v>123.26955252957583</c:v>
              </c:pt>
              <c:pt idx="44">
                <c:v>123.4458208719962</c:v>
              </c:pt>
              <c:pt idx="45">
                <c:v>123.61732249567089</c:v>
              </c:pt>
              <c:pt idx="46">
                <c:v>123.78424403413896</c:v>
              </c:pt>
              <c:pt idx="47">
                <c:v>123.94676028952824</c:v>
              </c:pt>
              <c:pt idx="48">
                <c:v>124.10503521194579</c:v>
              </c:pt>
              <c:pt idx="49">
                <c:v>124.2592227795796</c:v>
              </c:pt>
            </c:numLit>
          </c:val>
          <c:extLst>
            <c:ext xmlns:c16="http://schemas.microsoft.com/office/drawing/2014/chart" uri="{C3380CC4-5D6E-409C-BE32-E72D297353CC}">
              <c16:uniqueId val="{00000008-8528-4EC3-BA84-58A13B9AFE50}"/>
            </c:ext>
          </c:extLst>
        </c:ser>
        <c:ser>
          <c:idx val="9"/>
          <c:order val="9"/>
          <c:tx>
            <c:v>102.1</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89.757999785404721</c:v>
              </c:pt>
              <c:pt idx="1">
                <c:v>96.621962788066796</c:v>
              </c:pt>
              <c:pt idx="2">
                <c:v>100.40678277459587</c:v>
              </c:pt>
              <c:pt idx="3">
                <c:v>103.03314398773163</c:v>
              </c:pt>
              <c:pt idx="4">
                <c:v>105.0459504379163</c:v>
              </c:pt>
              <c:pt idx="5">
                <c:v>106.67785630196218</c:v>
              </c:pt>
              <c:pt idx="6">
                <c:v>108.04997876596229</c:v>
              </c:pt>
              <c:pt idx="7">
                <c:v>109.23346392669416</c:v>
              </c:pt>
              <c:pt idx="8">
                <c:v>110.27368163381675</c:v>
              </c:pt>
              <c:pt idx="9">
                <c:v>111.2013459711626</c:v>
              </c:pt>
              <c:pt idx="10">
                <c:v>112.03821837497253</c:v>
              </c:pt>
              <c:pt idx="11">
                <c:v>112.80028095599141</c:v>
              </c:pt>
              <c:pt idx="12">
                <c:v>113.49961756507636</c:v>
              </c:pt>
              <c:pt idx="13">
                <c:v>114.14558680152192</c:v>
              </c:pt>
              <c:pt idx="14">
                <c:v>114.74558451808372</c:v>
              </c:pt>
              <c:pt idx="15">
                <c:v>115.30555699325515</c:v>
              </c:pt>
              <c:pt idx="16">
                <c:v>115.83035662939977</c:v>
              </c:pt>
              <c:pt idx="17">
                <c:v>116.3239948265084</c:v>
              </c:pt>
              <c:pt idx="18">
                <c:v>116.78982575945628</c:v>
              </c:pt>
              <c:pt idx="19">
                <c:v>117.23068254587008</c:v>
              </c:pt>
              <c:pt idx="20">
                <c:v>117.64897987880693</c:v>
              </c:pt>
              <c:pt idx="21">
                <c:v>118.04679257150775</c:v>
              </c:pt>
              <c:pt idx="22">
                <c:v>118.42591649526864</c:v>
              </c:pt>
              <c:pt idx="23">
                <c:v>118.78791644408511</c:v>
              </c:pt>
              <c:pt idx="24">
                <c:v>119.13416415363469</c:v>
              </c:pt>
              <c:pt idx="25">
                <c:v>119.46586880914992</c:v>
              </c:pt>
              <c:pt idx="26">
                <c:v>119.78410175539454</c:v>
              </c:pt>
              <c:pt idx="27">
                <c:v>120.08981668270809</c:v>
              </c:pt>
              <c:pt idx="28">
                <c:v>120.38386624800629</c:v>
              </c:pt>
              <c:pt idx="29">
                <c:v>120.66701586057616</c:v>
              </c:pt>
              <c:pt idx="30">
                <c:v>120.93995519392416</c:v>
              </c:pt>
              <c:pt idx="31">
                <c:v>121.20330785944068</c:v>
              </c:pt>
              <c:pt idx="32">
                <c:v>121.45763958322843</c:v>
              </c:pt>
              <c:pt idx="33">
                <c:v>121.70346515570367</c:v>
              </c:pt>
              <c:pt idx="34">
                <c:v>121.94125436857183</c:v>
              </c:pt>
              <c:pt idx="35">
                <c:v>122.1714371112347</c:v>
              </c:pt>
              <c:pt idx="36">
                <c:v>122.39440776551655</c:v>
              </c:pt>
              <c:pt idx="37">
                <c:v>122.61052901153943</c:v>
              </c:pt>
              <c:pt idx="38">
                <c:v>122.82013513696214</c:v>
              </c:pt>
              <c:pt idx="39">
                <c:v>123.0235349253775</c:v>
              </c:pt>
              <c:pt idx="40">
                <c:v>123.22101418650129</c:v>
              </c:pt>
              <c:pt idx="41">
                <c:v>123.41283798017318</c:v>
              </c:pt>
              <c:pt idx="42">
                <c:v>123.5992525775851</c:v>
              </c:pt>
              <c:pt idx="43">
                <c:v>123.78048719613506</c:v>
              </c:pt>
              <c:pt idx="44">
                <c:v>123.9567555385554</c:v>
              </c:pt>
              <c:pt idx="45">
                <c:v>124.12825716223008</c:v>
              </c:pt>
              <c:pt idx="46">
                <c:v>124.29517870069819</c:v>
              </c:pt>
              <c:pt idx="47">
                <c:v>124.45769495608744</c:v>
              </c:pt>
              <c:pt idx="48">
                <c:v>124.61596987850498</c:v>
              </c:pt>
              <c:pt idx="49">
                <c:v>124.7701574461388</c:v>
              </c:pt>
            </c:numLit>
          </c:val>
          <c:extLst>
            <c:ext xmlns:c16="http://schemas.microsoft.com/office/drawing/2014/chart" uri="{C3380CC4-5D6E-409C-BE32-E72D297353CC}">
              <c16:uniqueId val="{00000009-8528-4EC3-BA84-58A13B9AFE50}"/>
            </c:ext>
          </c:extLst>
        </c:ser>
        <c:ser>
          <c:idx val="10"/>
          <c:order val="10"/>
          <c:tx>
            <c:v>112.3</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90.215102186853656</c:v>
              </c:pt>
              <c:pt idx="1">
                <c:v>97.079065189515703</c:v>
              </c:pt>
              <c:pt idx="2">
                <c:v>100.86388517604476</c:v>
              </c:pt>
              <c:pt idx="3">
                <c:v>103.49024638918054</c:v>
              </c:pt>
              <c:pt idx="4">
                <c:v>105.50305283936518</c:v>
              </c:pt>
              <c:pt idx="5">
                <c:v>107.13495870341109</c:v>
              </c:pt>
              <c:pt idx="6">
                <c:v>108.50708116741117</c:v>
              </c:pt>
              <c:pt idx="7">
                <c:v>109.69056632814306</c:v>
              </c:pt>
              <c:pt idx="8">
                <c:v>110.73078403526563</c:v>
              </c:pt>
              <c:pt idx="9">
                <c:v>111.6584483726115</c:v>
              </c:pt>
              <c:pt idx="10">
                <c:v>112.49532077642141</c:v>
              </c:pt>
              <c:pt idx="11">
                <c:v>113.25738335744032</c:v>
              </c:pt>
              <c:pt idx="12">
                <c:v>113.95671996652527</c:v>
              </c:pt>
              <c:pt idx="13">
                <c:v>114.60268920297079</c:v>
              </c:pt>
              <c:pt idx="14">
                <c:v>115.20268691953262</c:v>
              </c:pt>
              <c:pt idx="15">
                <c:v>115.76265939470403</c:v>
              </c:pt>
              <c:pt idx="16">
                <c:v>116.28745903084865</c:v>
              </c:pt>
              <c:pt idx="17">
                <c:v>116.78109722795733</c:v>
              </c:pt>
              <c:pt idx="18">
                <c:v>117.24692816090516</c:v>
              </c:pt>
              <c:pt idx="19">
                <c:v>117.68778494731902</c:v>
              </c:pt>
              <c:pt idx="20">
                <c:v>118.10608228025586</c:v>
              </c:pt>
              <c:pt idx="21">
                <c:v>118.50389497295663</c:v>
              </c:pt>
              <c:pt idx="22">
                <c:v>118.88301889671754</c:v>
              </c:pt>
              <c:pt idx="23">
                <c:v>119.24501884553399</c:v>
              </c:pt>
              <c:pt idx="24">
                <c:v>119.59126655508359</c:v>
              </c:pt>
              <c:pt idx="25">
                <c:v>119.9229712105988</c:v>
              </c:pt>
              <c:pt idx="26">
                <c:v>120.24120415684348</c:v>
              </c:pt>
              <c:pt idx="27">
                <c:v>120.546919084157</c:v>
              </c:pt>
              <c:pt idx="28">
                <c:v>120.84096864945519</c:v>
              </c:pt>
              <c:pt idx="29">
                <c:v>121.12411826202509</c:v>
              </c:pt>
              <c:pt idx="30">
                <c:v>121.39705759537307</c:v>
              </c:pt>
              <c:pt idx="31">
                <c:v>121.66041026088959</c:v>
              </c:pt>
              <c:pt idx="32">
                <c:v>121.91474198467733</c:v>
              </c:pt>
              <c:pt idx="33">
                <c:v>122.16056755715258</c:v>
              </c:pt>
              <c:pt idx="34">
                <c:v>122.39835677002074</c:v>
              </c:pt>
              <c:pt idx="35">
                <c:v>122.6285395126836</c:v>
              </c:pt>
              <c:pt idx="36">
                <c:v>122.85151016696545</c:v>
              </c:pt>
              <c:pt idx="37">
                <c:v>123.06763141298833</c:v>
              </c:pt>
              <c:pt idx="38">
                <c:v>123.27723753841104</c:v>
              </c:pt>
              <c:pt idx="39">
                <c:v>123.48063732682641</c:v>
              </c:pt>
              <c:pt idx="40">
                <c:v>123.67811658795017</c:v>
              </c:pt>
              <c:pt idx="41">
                <c:v>123.86994038162209</c:v>
              </c:pt>
              <c:pt idx="42">
                <c:v>124.05635497903401</c:v>
              </c:pt>
              <c:pt idx="43">
                <c:v>124.23758959758396</c:v>
              </c:pt>
              <c:pt idx="44">
                <c:v>124.41385794000431</c:v>
              </c:pt>
              <c:pt idx="45">
                <c:v>124.58535956367899</c:v>
              </c:pt>
              <c:pt idx="46">
                <c:v>124.75228110214709</c:v>
              </c:pt>
              <c:pt idx="47">
                <c:v>124.91479735753632</c:v>
              </c:pt>
              <c:pt idx="48">
                <c:v>125.07307227995392</c:v>
              </c:pt>
              <c:pt idx="49">
                <c:v>125.22725984758773</c:v>
              </c:pt>
            </c:numLit>
          </c:val>
          <c:extLst>
            <c:ext xmlns:c16="http://schemas.microsoft.com/office/drawing/2014/chart" uri="{C3380CC4-5D6E-409C-BE32-E72D297353CC}">
              <c16:uniqueId val="{0000000A-8528-4EC3-BA84-58A13B9AFE50}"/>
            </c:ext>
          </c:extLst>
        </c:ser>
        <c:ser>
          <c:idx val="11"/>
          <c:order val="11"/>
          <c:tx>
            <c:v>122.5</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90.628642405884236</c:v>
              </c:pt>
              <c:pt idx="1">
                <c:v>97.492605408546311</c:v>
              </c:pt>
              <c:pt idx="2">
                <c:v>101.27742539507537</c:v>
              </c:pt>
              <c:pt idx="3">
                <c:v>103.90378660821115</c:v>
              </c:pt>
              <c:pt idx="4">
                <c:v>105.91659305839579</c:v>
              </c:pt>
              <c:pt idx="5">
                <c:v>107.54849892244169</c:v>
              </c:pt>
              <c:pt idx="6">
                <c:v>108.92062138644178</c:v>
              </c:pt>
              <c:pt idx="7">
                <c:v>110.10410654717367</c:v>
              </c:pt>
              <c:pt idx="8">
                <c:v>111.14432425429624</c:v>
              </c:pt>
              <c:pt idx="9">
                <c:v>112.07198859164211</c:v>
              </c:pt>
              <c:pt idx="10">
                <c:v>112.90886099545202</c:v>
              </c:pt>
              <c:pt idx="11">
                <c:v>113.67092357647093</c:v>
              </c:pt>
              <c:pt idx="12">
                <c:v>114.37026018555588</c:v>
              </c:pt>
              <c:pt idx="13">
                <c:v>115.0162294220014</c:v>
              </c:pt>
              <c:pt idx="14">
                <c:v>115.61622713856323</c:v>
              </c:pt>
              <c:pt idx="15">
                <c:v>116.17619961373464</c:v>
              </c:pt>
              <c:pt idx="16">
                <c:v>116.70099924987926</c:v>
              </c:pt>
              <c:pt idx="17">
                <c:v>117.19463744698794</c:v>
              </c:pt>
              <c:pt idx="18">
                <c:v>117.66046837993576</c:v>
              </c:pt>
              <c:pt idx="19">
                <c:v>118.10132516634962</c:v>
              </c:pt>
              <c:pt idx="20">
                <c:v>118.51962249928644</c:v>
              </c:pt>
              <c:pt idx="21">
                <c:v>118.91743519198724</c:v>
              </c:pt>
              <c:pt idx="22">
                <c:v>119.29655911574815</c:v>
              </c:pt>
              <c:pt idx="23">
                <c:v>119.6585590645646</c:v>
              </c:pt>
              <c:pt idx="24">
                <c:v>120.0048067741142</c:v>
              </c:pt>
              <c:pt idx="25">
                <c:v>120.33651142962941</c:v>
              </c:pt>
              <c:pt idx="26">
                <c:v>120.65474437587409</c:v>
              </c:pt>
              <c:pt idx="27">
                <c:v>120.9604593031876</c:v>
              </c:pt>
              <c:pt idx="28">
                <c:v>121.2545088684858</c:v>
              </c:pt>
              <c:pt idx="29">
                <c:v>121.5376584810557</c:v>
              </c:pt>
              <c:pt idx="30">
                <c:v>121.81059781440368</c:v>
              </c:pt>
              <c:pt idx="31">
                <c:v>122.0739504799202</c:v>
              </c:pt>
              <c:pt idx="32">
                <c:v>122.32828220370794</c:v>
              </c:pt>
              <c:pt idx="33">
                <c:v>122.57410777618318</c:v>
              </c:pt>
              <c:pt idx="34">
                <c:v>122.81189698905135</c:v>
              </c:pt>
              <c:pt idx="35">
                <c:v>123.04207973171421</c:v>
              </c:pt>
              <c:pt idx="36">
                <c:v>123.26505038599606</c:v>
              </c:pt>
              <c:pt idx="37">
                <c:v>123.48117163201894</c:v>
              </c:pt>
              <c:pt idx="38">
                <c:v>123.69077775744165</c:v>
              </c:pt>
              <c:pt idx="39">
                <c:v>123.89417754585702</c:v>
              </c:pt>
              <c:pt idx="40">
                <c:v>124.09165680698078</c:v>
              </c:pt>
              <c:pt idx="41">
                <c:v>124.28348060065269</c:v>
              </c:pt>
              <c:pt idx="42">
                <c:v>124.46989519806462</c:v>
              </c:pt>
              <c:pt idx="43">
                <c:v>124.65112981661457</c:v>
              </c:pt>
              <c:pt idx="44">
                <c:v>124.82739815903491</c:v>
              </c:pt>
              <c:pt idx="45">
                <c:v>124.9988997827096</c:v>
              </c:pt>
              <c:pt idx="46">
                <c:v>125.1658213211777</c:v>
              </c:pt>
              <c:pt idx="47">
                <c:v>125.32833757656692</c:v>
              </c:pt>
              <c:pt idx="48">
                <c:v>125.48661249898453</c:v>
              </c:pt>
              <c:pt idx="49">
                <c:v>125.64080006661834</c:v>
              </c:pt>
            </c:numLit>
          </c:val>
          <c:extLst>
            <c:ext xmlns:c16="http://schemas.microsoft.com/office/drawing/2014/chart" uri="{C3380CC4-5D6E-409C-BE32-E72D297353CC}">
              <c16:uniqueId val="{0000000B-8528-4EC3-BA84-58A13B9AFE50}"/>
            </c:ext>
          </c:extLst>
        </c:ser>
        <c:ser>
          <c:idx val="12"/>
          <c:order val="12"/>
          <c:tx>
            <c:v>132.7</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91.006205794689961</c:v>
              </c:pt>
              <c:pt idx="1">
                <c:v>97.870168797352036</c:v>
              </c:pt>
              <c:pt idx="2">
                <c:v>101.65498878388109</c:v>
              </c:pt>
              <c:pt idx="3">
                <c:v>104.28134999701689</c:v>
              </c:pt>
              <c:pt idx="4">
                <c:v>106.29415644720154</c:v>
              </c:pt>
              <c:pt idx="5">
                <c:v>107.92606231124739</c:v>
              </c:pt>
              <c:pt idx="6">
                <c:v>109.29818477524753</c:v>
              </c:pt>
              <c:pt idx="7">
                <c:v>110.48166993597937</c:v>
              </c:pt>
              <c:pt idx="8">
                <c:v>111.52188764310199</c:v>
              </c:pt>
              <c:pt idx="9">
                <c:v>112.44955198044784</c:v>
              </c:pt>
              <c:pt idx="10">
                <c:v>113.28642438425774</c:v>
              </c:pt>
              <c:pt idx="11">
                <c:v>114.04848696527665</c:v>
              </c:pt>
              <c:pt idx="12">
                <c:v>114.7478235743616</c:v>
              </c:pt>
              <c:pt idx="13">
                <c:v>115.39379281080716</c:v>
              </c:pt>
              <c:pt idx="14">
                <c:v>115.99379052736896</c:v>
              </c:pt>
              <c:pt idx="15">
                <c:v>116.55376300254039</c:v>
              </c:pt>
              <c:pt idx="16">
                <c:v>117.07856263868499</c:v>
              </c:pt>
              <c:pt idx="17">
                <c:v>117.57220083579364</c:v>
              </c:pt>
              <c:pt idx="18">
                <c:v>118.03803176874152</c:v>
              </c:pt>
              <c:pt idx="19">
                <c:v>118.47888855515532</c:v>
              </c:pt>
              <c:pt idx="20">
                <c:v>118.89718588809217</c:v>
              </c:pt>
              <c:pt idx="21">
                <c:v>119.29499858079299</c:v>
              </c:pt>
              <c:pt idx="22">
                <c:v>119.67412250455388</c:v>
              </c:pt>
              <c:pt idx="23">
                <c:v>120.03612245337035</c:v>
              </c:pt>
              <c:pt idx="24">
                <c:v>120.38237016291993</c:v>
              </c:pt>
              <c:pt idx="25">
                <c:v>120.71407481843517</c:v>
              </c:pt>
              <c:pt idx="26">
                <c:v>121.03230776467979</c:v>
              </c:pt>
              <c:pt idx="27">
                <c:v>121.33802269199333</c:v>
              </c:pt>
              <c:pt idx="28">
                <c:v>121.6320722572915</c:v>
              </c:pt>
              <c:pt idx="29">
                <c:v>121.9152218698614</c:v>
              </c:pt>
              <c:pt idx="30">
                <c:v>122.1881612032094</c:v>
              </c:pt>
              <c:pt idx="31">
                <c:v>122.4515138687259</c:v>
              </c:pt>
              <c:pt idx="32">
                <c:v>122.70584559251364</c:v>
              </c:pt>
              <c:pt idx="33">
                <c:v>122.95167116498891</c:v>
              </c:pt>
              <c:pt idx="34">
                <c:v>123.18946037785707</c:v>
              </c:pt>
              <c:pt idx="35">
                <c:v>123.41964312051994</c:v>
              </c:pt>
              <c:pt idx="36">
                <c:v>123.64261377480176</c:v>
              </c:pt>
              <c:pt idx="37">
                <c:v>123.85873502082467</c:v>
              </c:pt>
              <c:pt idx="38">
                <c:v>124.06834114624735</c:v>
              </c:pt>
              <c:pt idx="39">
                <c:v>124.27174093466274</c:v>
              </c:pt>
              <c:pt idx="40">
                <c:v>124.46922019578653</c:v>
              </c:pt>
              <c:pt idx="41">
                <c:v>124.66104398945839</c:v>
              </c:pt>
              <c:pt idx="42">
                <c:v>124.84745858687035</c:v>
              </c:pt>
              <c:pt idx="43">
                <c:v>125.02869320542027</c:v>
              </c:pt>
              <c:pt idx="44">
                <c:v>125.20496154784064</c:v>
              </c:pt>
              <c:pt idx="45">
                <c:v>125.37646317151533</c:v>
              </c:pt>
              <c:pt idx="46">
                <c:v>125.5433847099834</c:v>
              </c:pt>
              <c:pt idx="47">
                <c:v>125.70590096537268</c:v>
              </c:pt>
              <c:pt idx="48">
                <c:v>125.86417588779022</c:v>
              </c:pt>
              <c:pt idx="49">
                <c:v>126.01836345542404</c:v>
              </c:pt>
            </c:numLit>
          </c:val>
          <c:extLst>
            <c:ext xmlns:c16="http://schemas.microsoft.com/office/drawing/2014/chart" uri="{C3380CC4-5D6E-409C-BE32-E72D297353CC}">
              <c16:uniqueId val="{0000000C-8528-4EC3-BA84-58A13B9AFE50}"/>
            </c:ext>
          </c:extLst>
        </c:ser>
        <c:ser>
          <c:idx val="13"/>
          <c:order val="13"/>
          <c:tx>
            <c:v>142.9</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91.353554190841081</c:v>
              </c:pt>
              <c:pt idx="1">
                <c:v>98.217517193503156</c:v>
              </c:pt>
              <c:pt idx="2">
                <c:v>102.00233718003223</c:v>
              </c:pt>
              <c:pt idx="3">
                <c:v>104.62869839316801</c:v>
              </c:pt>
              <c:pt idx="4">
                <c:v>106.64150484335266</c:v>
              </c:pt>
              <c:pt idx="5">
                <c:v>108.27341070739854</c:v>
              </c:pt>
              <c:pt idx="6">
                <c:v>109.64553317139865</c:v>
              </c:pt>
              <c:pt idx="7">
                <c:v>110.82901833213052</c:v>
              </c:pt>
              <c:pt idx="8">
                <c:v>111.86923603925311</c:v>
              </c:pt>
              <c:pt idx="9">
                <c:v>112.79690037659896</c:v>
              </c:pt>
              <c:pt idx="10">
                <c:v>113.63377278040889</c:v>
              </c:pt>
              <c:pt idx="11">
                <c:v>114.39583536142777</c:v>
              </c:pt>
              <c:pt idx="12">
                <c:v>115.09517197051272</c:v>
              </c:pt>
              <c:pt idx="13">
                <c:v>115.74114120695828</c:v>
              </c:pt>
              <c:pt idx="14">
                <c:v>116.34113892352008</c:v>
              </c:pt>
              <c:pt idx="15">
                <c:v>116.90111139869151</c:v>
              </c:pt>
              <c:pt idx="16">
                <c:v>117.42591103483613</c:v>
              </c:pt>
              <c:pt idx="17">
                <c:v>117.91954923194476</c:v>
              </c:pt>
              <c:pt idx="18">
                <c:v>118.38538016489264</c:v>
              </c:pt>
              <c:pt idx="19">
                <c:v>118.82623695130644</c:v>
              </c:pt>
              <c:pt idx="20">
                <c:v>119.24453428424329</c:v>
              </c:pt>
              <c:pt idx="21">
                <c:v>119.64234697694411</c:v>
              </c:pt>
              <c:pt idx="22">
                <c:v>120.021470900705</c:v>
              </c:pt>
              <c:pt idx="23">
                <c:v>120.38347084952147</c:v>
              </c:pt>
              <c:pt idx="24">
                <c:v>120.72971855907105</c:v>
              </c:pt>
              <c:pt idx="25">
                <c:v>121.06142321458628</c:v>
              </c:pt>
              <c:pt idx="26">
                <c:v>121.3796561608309</c:v>
              </c:pt>
              <c:pt idx="27">
                <c:v>121.68537108814445</c:v>
              </c:pt>
              <c:pt idx="28">
                <c:v>121.97942065344265</c:v>
              </c:pt>
              <c:pt idx="29">
                <c:v>122.26257026601252</c:v>
              </c:pt>
              <c:pt idx="30">
                <c:v>122.53550959936052</c:v>
              </c:pt>
              <c:pt idx="31">
                <c:v>122.79886226487704</c:v>
              </c:pt>
              <c:pt idx="32">
                <c:v>123.05319398866479</c:v>
              </c:pt>
              <c:pt idx="33">
                <c:v>123.29901956114003</c:v>
              </c:pt>
              <c:pt idx="34">
                <c:v>123.53680877400819</c:v>
              </c:pt>
              <c:pt idx="35">
                <c:v>123.76699151667106</c:v>
              </c:pt>
              <c:pt idx="36">
                <c:v>123.98996217095291</c:v>
              </c:pt>
              <c:pt idx="37">
                <c:v>124.20608341697579</c:v>
              </c:pt>
              <c:pt idx="38">
                <c:v>124.4156895423985</c:v>
              </c:pt>
              <c:pt idx="39">
                <c:v>124.61908933081386</c:v>
              </c:pt>
              <c:pt idx="40">
                <c:v>124.81656859193765</c:v>
              </c:pt>
              <c:pt idx="41">
                <c:v>125.00839238560954</c:v>
              </c:pt>
              <c:pt idx="42">
                <c:v>125.19480698302146</c:v>
              </c:pt>
              <c:pt idx="43">
                <c:v>125.37604160157142</c:v>
              </c:pt>
              <c:pt idx="44">
                <c:v>125.55230994399176</c:v>
              </c:pt>
              <c:pt idx="45">
                <c:v>125.72381156766644</c:v>
              </c:pt>
              <c:pt idx="46">
                <c:v>125.89073310613455</c:v>
              </c:pt>
              <c:pt idx="47">
                <c:v>126.0532493615238</c:v>
              </c:pt>
              <c:pt idx="48">
                <c:v>126.21152428394134</c:v>
              </c:pt>
              <c:pt idx="49">
                <c:v>126.36571185157516</c:v>
              </c:pt>
            </c:numLit>
          </c:val>
          <c:extLst>
            <c:ext xmlns:c16="http://schemas.microsoft.com/office/drawing/2014/chart" uri="{C3380CC4-5D6E-409C-BE32-E72D297353CC}">
              <c16:uniqueId val="{0000000D-8528-4EC3-BA84-58A13B9AFE50}"/>
            </c:ext>
          </c:extLst>
        </c:ser>
        <c:ser>
          <c:idx val="14"/>
          <c:order val="14"/>
          <c:tx>
            <c:v>153.1</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91.675167296836705</c:v>
              </c:pt>
              <c:pt idx="1">
                <c:v>98.53913029949878</c:v>
              </c:pt>
              <c:pt idx="2">
                <c:v>102.32395028602784</c:v>
              </c:pt>
              <c:pt idx="3">
                <c:v>104.9503114991636</c:v>
              </c:pt>
              <c:pt idx="4">
                <c:v>106.96311794934826</c:v>
              </c:pt>
              <c:pt idx="5">
                <c:v>108.59502381339416</c:v>
              </c:pt>
              <c:pt idx="6">
                <c:v>109.96714627739425</c:v>
              </c:pt>
              <c:pt idx="7">
                <c:v>111.15063143812614</c:v>
              </c:pt>
              <c:pt idx="8">
                <c:v>112.19084914524871</c:v>
              </c:pt>
              <c:pt idx="9">
                <c:v>113.11851348259455</c:v>
              </c:pt>
              <c:pt idx="10">
                <c:v>113.95538588640449</c:v>
              </c:pt>
              <c:pt idx="11">
                <c:v>114.71744846742337</c:v>
              </c:pt>
              <c:pt idx="12">
                <c:v>115.41678507650835</c:v>
              </c:pt>
              <c:pt idx="13">
                <c:v>116.06275431295387</c:v>
              </c:pt>
              <c:pt idx="14">
                <c:v>116.66275202951567</c:v>
              </c:pt>
              <c:pt idx="15">
                <c:v>117.22272450468711</c:v>
              </c:pt>
              <c:pt idx="16">
                <c:v>117.74752414083173</c:v>
              </c:pt>
              <c:pt idx="17">
                <c:v>118.24116233794038</c:v>
              </c:pt>
              <c:pt idx="18">
                <c:v>118.70699327088823</c:v>
              </c:pt>
              <c:pt idx="19">
                <c:v>119.14785005730207</c:v>
              </c:pt>
              <c:pt idx="20">
                <c:v>119.56614739023891</c:v>
              </c:pt>
              <c:pt idx="21">
                <c:v>119.96396008293971</c:v>
              </c:pt>
              <c:pt idx="22">
                <c:v>120.34308400670062</c:v>
              </c:pt>
              <c:pt idx="23">
                <c:v>120.70508395551707</c:v>
              </c:pt>
              <c:pt idx="24">
                <c:v>121.05133166506664</c:v>
              </c:pt>
              <c:pt idx="25">
                <c:v>121.38303632058188</c:v>
              </c:pt>
              <c:pt idx="26">
                <c:v>121.70126926682653</c:v>
              </c:pt>
              <c:pt idx="27">
                <c:v>122.00698419414005</c:v>
              </c:pt>
              <c:pt idx="28">
                <c:v>122.30103375943827</c:v>
              </c:pt>
              <c:pt idx="29">
                <c:v>122.58418337200814</c:v>
              </c:pt>
              <c:pt idx="30">
                <c:v>122.85712270535612</c:v>
              </c:pt>
              <c:pt idx="31">
                <c:v>123.12047537087267</c:v>
              </c:pt>
              <c:pt idx="32">
                <c:v>123.37480709466041</c:v>
              </c:pt>
              <c:pt idx="33">
                <c:v>123.62063266713562</c:v>
              </c:pt>
              <c:pt idx="34">
                <c:v>123.85842188000379</c:v>
              </c:pt>
              <c:pt idx="35">
                <c:v>124.08860462266668</c:v>
              </c:pt>
              <c:pt idx="36">
                <c:v>124.31157527694853</c:v>
              </c:pt>
              <c:pt idx="37">
                <c:v>124.52769652297138</c:v>
              </c:pt>
              <c:pt idx="38">
                <c:v>124.73730264839412</c:v>
              </c:pt>
              <c:pt idx="39">
                <c:v>124.94070243680949</c:v>
              </c:pt>
              <c:pt idx="40">
                <c:v>125.13818169793325</c:v>
              </c:pt>
              <c:pt idx="41">
                <c:v>125.33000549160516</c:v>
              </c:pt>
              <c:pt idx="42">
                <c:v>125.51642008901706</c:v>
              </c:pt>
              <c:pt idx="43">
                <c:v>125.69765470756704</c:v>
              </c:pt>
              <c:pt idx="44">
                <c:v>125.87392304998735</c:v>
              </c:pt>
              <c:pt idx="45">
                <c:v>126.04542467366207</c:v>
              </c:pt>
              <c:pt idx="46">
                <c:v>126.21234621213017</c:v>
              </c:pt>
              <c:pt idx="47">
                <c:v>126.37486246751939</c:v>
              </c:pt>
              <c:pt idx="48">
                <c:v>126.53313738993697</c:v>
              </c:pt>
              <c:pt idx="49">
                <c:v>126.68732495757078</c:v>
              </c:pt>
            </c:numLit>
          </c:val>
          <c:extLst>
            <c:ext xmlns:c16="http://schemas.microsoft.com/office/drawing/2014/chart" uri="{C3380CC4-5D6E-409C-BE32-E72D297353CC}">
              <c16:uniqueId val="{0000000E-8528-4EC3-BA84-58A13B9AFE50}"/>
            </c:ext>
          </c:extLst>
        </c:ser>
        <c:ser>
          <c:idx val="15"/>
          <c:order val="15"/>
          <c:tx>
            <c:v>163.3</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91.974596956413237</c:v>
              </c:pt>
              <c:pt idx="1">
                <c:v>98.838559959075312</c:v>
              </c:pt>
              <c:pt idx="2">
                <c:v>102.62337994560437</c:v>
              </c:pt>
              <c:pt idx="3">
                <c:v>105.24974115874016</c:v>
              </c:pt>
              <c:pt idx="4">
                <c:v>107.26254760892482</c:v>
              </c:pt>
              <c:pt idx="5">
                <c:v>108.8944534729707</c:v>
              </c:pt>
              <c:pt idx="6">
                <c:v>110.26657593697081</c:v>
              </c:pt>
              <c:pt idx="7">
                <c:v>111.45006109770267</c:v>
              </c:pt>
              <c:pt idx="8">
                <c:v>112.49027880482527</c:v>
              </c:pt>
              <c:pt idx="9">
                <c:v>113.41794314217111</c:v>
              </c:pt>
              <c:pt idx="10">
                <c:v>114.25481554598102</c:v>
              </c:pt>
              <c:pt idx="11">
                <c:v>115.01687812699993</c:v>
              </c:pt>
              <c:pt idx="12">
                <c:v>115.71621473608488</c:v>
              </c:pt>
              <c:pt idx="13">
                <c:v>116.36218397253043</c:v>
              </c:pt>
              <c:pt idx="14">
                <c:v>116.96218168909223</c:v>
              </c:pt>
              <c:pt idx="15">
                <c:v>117.52215416426367</c:v>
              </c:pt>
              <c:pt idx="16">
                <c:v>118.04695380040826</c:v>
              </c:pt>
              <c:pt idx="17">
                <c:v>118.54059199751691</c:v>
              </c:pt>
              <c:pt idx="18">
                <c:v>119.00642293046479</c:v>
              </c:pt>
              <c:pt idx="19">
                <c:v>119.4472797168786</c:v>
              </c:pt>
              <c:pt idx="20">
                <c:v>119.86557704981544</c:v>
              </c:pt>
              <c:pt idx="21">
                <c:v>120.26338974251627</c:v>
              </c:pt>
              <c:pt idx="22">
                <c:v>120.64251366627715</c:v>
              </c:pt>
              <c:pt idx="23">
                <c:v>121.00451361509363</c:v>
              </c:pt>
              <c:pt idx="24">
                <c:v>121.3507613246432</c:v>
              </c:pt>
              <c:pt idx="25">
                <c:v>121.68246598015844</c:v>
              </c:pt>
              <c:pt idx="26">
                <c:v>122.00069892640306</c:v>
              </c:pt>
              <c:pt idx="27">
                <c:v>122.30641385371661</c:v>
              </c:pt>
              <c:pt idx="28">
                <c:v>122.6004634190148</c:v>
              </c:pt>
              <c:pt idx="29">
                <c:v>122.88361303158467</c:v>
              </c:pt>
              <c:pt idx="30">
                <c:v>123.15655236493268</c:v>
              </c:pt>
              <c:pt idx="31">
                <c:v>123.4199050304492</c:v>
              </c:pt>
              <c:pt idx="32">
                <c:v>123.67423675423694</c:v>
              </c:pt>
              <c:pt idx="33">
                <c:v>123.92006232671218</c:v>
              </c:pt>
              <c:pt idx="34">
                <c:v>124.15785153958035</c:v>
              </c:pt>
              <c:pt idx="35">
                <c:v>124.38803428224321</c:v>
              </c:pt>
              <c:pt idx="36">
                <c:v>124.61100493652506</c:v>
              </c:pt>
              <c:pt idx="37">
                <c:v>124.82712618254794</c:v>
              </c:pt>
              <c:pt idx="38">
                <c:v>125.03673230797062</c:v>
              </c:pt>
              <c:pt idx="39">
                <c:v>125.24013209638602</c:v>
              </c:pt>
              <c:pt idx="40">
                <c:v>125.43761135750981</c:v>
              </c:pt>
              <c:pt idx="41">
                <c:v>125.6294351511817</c:v>
              </c:pt>
              <c:pt idx="42">
                <c:v>125.81584974859362</c:v>
              </c:pt>
              <c:pt idx="43">
                <c:v>125.99708436714357</c:v>
              </c:pt>
              <c:pt idx="44">
                <c:v>126.17335270956391</c:v>
              </c:pt>
              <c:pt idx="45">
                <c:v>126.3448543332386</c:v>
              </c:pt>
              <c:pt idx="46">
                <c:v>126.5117758717067</c:v>
              </c:pt>
              <c:pt idx="47">
                <c:v>126.67429212709595</c:v>
              </c:pt>
              <c:pt idx="48">
                <c:v>126.8325670495135</c:v>
              </c:pt>
              <c:pt idx="49">
                <c:v>126.98675461714731</c:v>
              </c:pt>
            </c:numLit>
          </c:val>
          <c:extLst>
            <c:ext xmlns:c16="http://schemas.microsoft.com/office/drawing/2014/chart" uri="{C3380CC4-5D6E-409C-BE32-E72D297353CC}">
              <c16:uniqueId val="{0000000F-8528-4EC3-BA84-58A13B9AFE50}"/>
            </c:ext>
          </c:extLst>
        </c:ser>
        <c:ser>
          <c:idx val="16"/>
          <c:order val="16"/>
          <c:tx>
            <c:v>173.5</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92.254706932241092</c:v>
              </c:pt>
              <c:pt idx="1">
                <c:v>99.118669934903167</c:v>
              </c:pt>
              <c:pt idx="2">
                <c:v>102.90348992143223</c:v>
              </c:pt>
              <c:pt idx="3">
                <c:v>105.52985113456799</c:v>
              </c:pt>
              <c:pt idx="4">
                <c:v>107.54265758475265</c:v>
              </c:pt>
              <c:pt idx="5">
                <c:v>109.17456344879855</c:v>
              </c:pt>
              <c:pt idx="6">
                <c:v>110.54668591279864</c:v>
              </c:pt>
              <c:pt idx="7">
                <c:v>111.73017107353053</c:v>
              </c:pt>
              <c:pt idx="8">
                <c:v>112.77038878065309</c:v>
              </c:pt>
              <c:pt idx="9">
                <c:v>113.69805311799897</c:v>
              </c:pt>
              <c:pt idx="10">
                <c:v>114.53492552180887</c:v>
              </c:pt>
              <c:pt idx="11">
                <c:v>115.29698810282778</c:v>
              </c:pt>
              <c:pt idx="12">
                <c:v>115.99632471191273</c:v>
              </c:pt>
              <c:pt idx="13">
                <c:v>116.64229394835826</c:v>
              </c:pt>
              <c:pt idx="14">
                <c:v>117.24229166492009</c:v>
              </c:pt>
              <c:pt idx="15">
                <c:v>117.80226414009149</c:v>
              </c:pt>
              <c:pt idx="16">
                <c:v>118.32706377623612</c:v>
              </c:pt>
              <c:pt idx="17">
                <c:v>118.8207019733448</c:v>
              </c:pt>
              <c:pt idx="18">
                <c:v>119.28653290629262</c:v>
              </c:pt>
              <c:pt idx="19">
                <c:v>119.72738969270648</c:v>
              </c:pt>
              <c:pt idx="20">
                <c:v>120.1456870256433</c:v>
              </c:pt>
              <c:pt idx="21">
                <c:v>120.54349971834409</c:v>
              </c:pt>
              <c:pt idx="22">
                <c:v>120.92262364210501</c:v>
              </c:pt>
              <c:pt idx="23">
                <c:v>121.28462359092146</c:v>
              </c:pt>
              <c:pt idx="24">
                <c:v>121.63087130047106</c:v>
              </c:pt>
              <c:pt idx="25">
                <c:v>121.96257595598627</c:v>
              </c:pt>
              <c:pt idx="26">
                <c:v>122.28080890223094</c:v>
              </c:pt>
              <c:pt idx="27">
                <c:v>122.58652382954446</c:v>
              </c:pt>
              <c:pt idx="28">
                <c:v>122.88057339484266</c:v>
              </c:pt>
              <c:pt idx="29">
                <c:v>123.16372300741256</c:v>
              </c:pt>
              <c:pt idx="30">
                <c:v>123.43666234076053</c:v>
              </c:pt>
              <c:pt idx="31">
                <c:v>123.70001500627706</c:v>
              </c:pt>
              <c:pt idx="32">
                <c:v>123.9543467300648</c:v>
              </c:pt>
              <c:pt idx="33">
                <c:v>124.20017230254004</c:v>
              </c:pt>
              <c:pt idx="34">
                <c:v>124.4379615154082</c:v>
              </c:pt>
              <c:pt idx="35">
                <c:v>124.66814425807107</c:v>
              </c:pt>
              <c:pt idx="36">
                <c:v>124.89111491235292</c:v>
              </c:pt>
              <c:pt idx="37">
                <c:v>125.1072361583758</c:v>
              </c:pt>
              <c:pt idx="38">
                <c:v>125.31684228379851</c:v>
              </c:pt>
              <c:pt idx="39">
                <c:v>125.52024207221388</c:v>
              </c:pt>
              <c:pt idx="40">
                <c:v>125.71772133333764</c:v>
              </c:pt>
              <c:pt idx="41">
                <c:v>125.90954512700955</c:v>
              </c:pt>
              <c:pt idx="42">
                <c:v>126.09595972442148</c:v>
              </c:pt>
              <c:pt idx="43">
                <c:v>126.27719434297143</c:v>
              </c:pt>
              <c:pt idx="44">
                <c:v>126.45346268539177</c:v>
              </c:pt>
              <c:pt idx="45">
                <c:v>126.62496430906646</c:v>
              </c:pt>
              <c:pt idx="46">
                <c:v>126.79188584753456</c:v>
              </c:pt>
              <c:pt idx="47">
                <c:v>126.95440210292378</c:v>
              </c:pt>
              <c:pt idx="48">
                <c:v>127.11267702534138</c:v>
              </c:pt>
              <c:pt idx="49">
                <c:v>127.2668645929752</c:v>
              </c:pt>
            </c:numLit>
          </c:val>
          <c:extLst>
            <c:ext xmlns:c16="http://schemas.microsoft.com/office/drawing/2014/chart" uri="{C3380CC4-5D6E-409C-BE32-E72D297353CC}">
              <c16:uniqueId val="{00000010-8528-4EC3-BA84-58A13B9AFE50}"/>
            </c:ext>
          </c:extLst>
        </c:ser>
        <c:ser>
          <c:idx val="17"/>
          <c:order val="17"/>
          <c:tx>
            <c:v>183.7</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92.517839907419685</c:v>
              </c:pt>
              <c:pt idx="1">
                <c:v>99.381802910081731</c:v>
              </c:pt>
              <c:pt idx="2">
                <c:v>103.16662289661079</c:v>
              </c:pt>
              <c:pt idx="3">
                <c:v>105.79298410974656</c:v>
              </c:pt>
              <c:pt idx="4">
                <c:v>107.80579055993121</c:v>
              </c:pt>
              <c:pt idx="5">
                <c:v>109.43769642397712</c:v>
              </c:pt>
              <c:pt idx="6">
                <c:v>110.8098188879772</c:v>
              </c:pt>
              <c:pt idx="7">
                <c:v>111.99330404870909</c:v>
              </c:pt>
              <c:pt idx="8">
                <c:v>113.03352175583166</c:v>
              </c:pt>
              <c:pt idx="9">
                <c:v>113.96118609317753</c:v>
              </c:pt>
              <c:pt idx="10">
                <c:v>114.79805849698744</c:v>
              </c:pt>
              <c:pt idx="11">
                <c:v>115.56012107800635</c:v>
              </c:pt>
              <c:pt idx="12">
                <c:v>116.2594576870913</c:v>
              </c:pt>
              <c:pt idx="13">
                <c:v>116.90542692353682</c:v>
              </c:pt>
              <c:pt idx="14">
                <c:v>117.50542464009865</c:v>
              </c:pt>
              <c:pt idx="15">
                <c:v>118.06539711527006</c:v>
              </c:pt>
              <c:pt idx="16">
                <c:v>118.59019675141468</c:v>
              </c:pt>
              <c:pt idx="17">
                <c:v>119.08383494852336</c:v>
              </c:pt>
              <c:pt idx="18">
                <c:v>119.54966588147119</c:v>
              </c:pt>
              <c:pt idx="19">
                <c:v>119.99052266788505</c:v>
              </c:pt>
              <c:pt idx="20">
                <c:v>120.40882000082189</c:v>
              </c:pt>
              <c:pt idx="21">
                <c:v>120.80663269352266</c:v>
              </c:pt>
              <c:pt idx="22">
                <c:v>121.18575661728357</c:v>
              </c:pt>
              <c:pt idx="23">
                <c:v>121.54775656610002</c:v>
              </c:pt>
              <c:pt idx="24">
                <c:v>121.89400427564962</c:v>
              </c:pt>
              <c:pt idx="25">
                <c:v>122.22570893116483</c:v>
              </c:pt>
              <c:pt idx="26">
                <c:v>122.54394187740951</c:v>
              </c:pt>
              <c:pt idx="27">
                <c:v>122.84965680472303</c:v>
              </c:pt>
              <c:pt idx="28">
                <c:v>123.14370637002122</c:v>
              </c:pt>
              <c:pt idx="29">
                <c:v>123.42685598259112</c:v>
              </c:pt>
              <c:pt idx="30">
                <c:v>123.6997953159391</c:v>
              </c:pt>
              <c:pt idx="31">
                <c:v>123.96314798145562</c:v>
              </c:pt>
              <c:pt idx="32">
                <c:v>124.21747970524336</c:v>
              </c:pt>
              <c:pt idx="33">
                <c:v>124.4633052777186</c:v>
              </c:pt>
              <c:pt idx="34">
                <c:v>124.70109449058677</c:v>
              </c:pt>
              <c:pt idx="35">
                <c:v>124.93127723324963</c:v>
              </c:pt>
              <c:pt idx="36">
                <c:v>125.15424788753148</c:v>
              </c:pt>
              <c:pt idx="37">
                <c:v>125.37036913355436</c:v>
              </c:pt>
              <c:pt idx="38">
                <c:v>125.57997525897707</c:v>
              </c:pt>
              <c:pt idx="39">
                <c:v>125.78337504739244</c:v>
              </c:pt>
              <c:pt idx="40">
                <c:v>125.9808543085162</c:v>
              </c:pt>
              <c:pt idx="41">
                <c:v>126.17267810218812</c:v>
              </c:pt>
              <c:pt idx="42">
                <c:v>126.35909269960004</c:v>
              </c:pt>
              <c:pt idx="43">
                <c:v>126.54032731814999</c:v>
              </c:pt>
              <c:pt idx="44">
                <c:v>126.71659566057033</c:v>
              </c:pt>
              <c:pt idx="45">
                <c:v>126.88809728424502</c:v>
              </c:pt>
              <c:pt idx="46">
                <c:v>127.05501882271312</c:v>
              </c:pt>
              <c:pt idx="47">
                <c:v>127.21753507810234</c:v>
              </c:pt>
              <c:pt idx="48">
                <c:v>127.37581000051995</c:v>
              </c:pt>
              <c:pt idx="49">
                <c:v>127.52999756815376</c:v>
              </c:pt>
            </c:numLit>
          </c:val>
          <c:extLst>
            <c:ext xmlns:c16="http://schemas.microsoft.com/office/drawing/2014/chart" uri="{C3380CC4-5D6E-409C-BE32-E72D297353CC}">
              <c16:uniqueId val="{00000011-8528-4EC3-BA84-58A13B9AFE50}"/>
            </c:ext>
          </c:extLst>
        </c:ser>
        <c:ser>
          <c:idx val="18"/>
          <c:order val="18"/>
          <c:tx>
            <c:v>193.9</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92.765936707011903</c:v>
              </c:pt>
              <c:pt idx="1">
                <c:v>99.629899709673978</c:v>
              </c:pt>
              <c:pt idx="2">
                <c:v>103.41471969620304</c:v>
              </c:pt>
              <c:pt idx="3">
                <c:v>106.0410809093388</c:v>
              </c:pt>
              <c:pt idx="4">
                <c:v>108.05388735952346</c:v>
              </c:pt>
              <c:pt idx="5">
                <c:v>109.68579322356933</c:v>
              </c:pt>
              <c:pt idx="6">
                <c:v>111.05791568756945</c:v>
              </c:pt>
              <c:pt idx="7">
                <c:v>112.24140084830134</c:v>
              </c:pt>
              <c:pt idx="8">
                <c:v>113.2816185554239</c:v>
              </c:pt>
              <c:pt idx="9">
                <c:v>114.20928289276975</c:v>
              </c:pt>
              <c:pt idx="10">
                <c:v>115.04615529657968</c:v>
              </c:pt>
              <c:pt idx="11">
                <c:v>115.80821787759857</c:v>
              </c:pt>
              <c:pt idx="12">
                <c:v>116.50755448668355</c:v>
              </c:pt>
              <c:pt idx="13">
                <c:v>117.15352372312907</c:v>
              </c:pt>
              <c:pt idx="14">
                <c:v>117.75352143969087</c:v>
              </c:pt>
              <c:pt idx="15">
                <c:v>118.31349391486231</c:v>
              </c:pt>
              <c:pt idx="16">
                <c:v>118.83829355100693</c:v>
              </c:pt>
              <c:pt idx="17">
                <c:v>119.33193174811558</c:v>
              </c:pt>
              <c:pt idx="18">
                <c:v>119.79776268106343</c:v>
              </c:pt>
              <c:pt idx="19">
                <c:v>120.23861946747726</c:v>
              </c:pt>
              <c:pt idx="20">
                <c:v>120.65691680041408</c:v>
              </c:pt>
              <c:pt idx="21">
                <c:v>121.05472949311491</c:v>
              </c:pt>
              <c:pt idx="22">
                <c:v>121.43385341687582</c:v>
              </c:pt>
              <c:pt idx="23">
                <c:v>121.79585336569227</c:v>
              </c:pt>
              <c:pt idx="24">
                <c:v>122.14210107524184</c:v>
              </c:pt>
              <c:pt idx="25">
                <c:v>122.47380573075708</c:v>
              </c:pt>
              <c:pt idx="26">
                <c:v>122.79203867700173</c:v>
              </c:pt>
              <c:pt idx="27">
                <c:v>123.09775360431524</c:v>
              </c:pt>
              <c:pt idx="28">
                <c:v>123.39180316961344</c:v>
              </c:pt>
              <c:pt idx="29">
                <c:v>123.67495278218334</c:v>
              </c:pt>
              <c:pt idx="30">
                <c:v>123.94789211553132</c:v>
              </c:pt>
              <c:pt idx="31">
                <c:v>124.21124478104787</c:v>
              </c:pt>
              <c:pt idx="32">
                <c:v>124.46557650483561</c:v>
              </c:pt>
              <c:pt idx="33">
                <c:v>124.71140207731082</c:v>
              </c:pt>
              <c:pt idx="34">
                <c:v>124.94919129017899</c:v>
              </c:pt>
              <c:pt idx="35">
                <c:v>125.17937403284188</c:v>
              </c:pt>
              <c:pt idx="36">
                <c:v>125.4023446871237</c:v>
              </c:pt>
              <c:pt idx="37">
                <c:v>125.61846593314658</c:v>
              </c:pt>
              <c:pt idx="38">
                <c:v>125.82807205856932</c:v>
              </c:pt>
              <c:pt idx="39">
                <c:v>126.03147184698469</c:v>
              </c:pt>
              <c:pt idx="40">
                <c:v>126.22895110810845</c:v>
              </c:pt>
              <c:pt idx="41">
                <c:v>126.42077490178036</c:v>
              </c:pt>
              <c:pt idx="42">
                <c:v>126.60718949919226</c:v>
              </c:pt>
              <c:pt idx="43">
                <c:v>126.78842411774221</c:v>
              </c:pt>
              <c:pt idx="44">
                <c:v>126.96469246016255</c:v>
              </c:pt>
              <c:pt idx="45">
                <c:v>127.13619408383727</c:v>
              </c:pt>
              <c:pt idx="46">
                <c:v>127.30311562230534</c:v>
              </c:pt>
              <c:pt idx="47">
                <c:v>127.46563187769459</c:v>
              </c:pt>
              <c:pt idx="48">
                <c:v>127.62390680011217</c:v>
              </c:pt>
              <c:pt idx="49">
                <c:v>127.77809436774598</c:v>
              </c:pt>
            </c:numLit>
          </c:val>
          <c:extLst>
            <c:ext xmlns:c16="http://schemas.microsoft.com/office/drawing/2014/chart" uri="{C3380CC4-5D6E-409C-BE32-E72D297353CC}">
              <c16:uniqueId val="{00000012-8528-4EC3-BA84-58A13B9AFE50}"/>
            </c:ext>
          </c:extLst>
        </c:ser>
        <c:ser>
          <c:idx val="19"/>
          <c:order val="19"/>
          <c:tx>
            <c:v>204.1</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93.00062325961882</c:v>
              </c:pt>
              <c:pt idx="1">
                <c:v>99.864586262280866</c:v>
              </c:pt>
              <c:pt idx="2">
                <c:v>103.64940624880994</c:v>
              </c:pt>
              <c:pt idx="3">
                <c:v>106.27576746194569</c:v>
              </c:pt>
              <c:pt idx="4">
                <c:v>108.28857391213035</c:v>
              </c:pt>
              <c:pt idx="5">
                <c:v>109.92047977617625</c:v>
              </c:pt>
              <c:pt idx="6">
                <c:v>111.29260224017634</c:v>
              </c:pt>
              <c:pt idx="7">
                <c:v>112.47608740090823</c:v>
              </c:pt>
              <c:pt idx="8">
                <c:v>113.51630510803079</c:v>
              </c:pt>
              <c:pt idx="9">
                <c:v>114.44396944537667</c:v>
              </c:pt>
              <c:pt idx="10">
                <c:v>115.28084184918657</c:v>
              </c:pt>
              <c:pt idx="11">
                <c:v>116.04290443020548</c:v>
              </c:pt>
              <c:pt idx="12">
                <c:v>116.74224103929043</c:v>
              </c:pt>
              <c:pt idx="13">
                <c:v>117.38821027573596</c:v>
              </c:pt>
              <c:pt idx="14">
                <c:v>117.98820799229782</c:v>
              </c:pt>
              <c:pt idx="15">
                <c:v>118.54818046746919</c:v>
              </c:pt>
              <c:pt idx="16">
                <c:v>119.07298010361382</c:v>
              </c:pt>
              <c:pt idx="17">
                <c:v>119.5666183007225</c:v>
              </c:pt>
              <c:pt idx="18">
                <c:v>120.03244923367032</c:v>
              </c:pt>
              <c:pt idx="19">
                <c:v>120.47330602008418</c:v>
              </c:pt>
              <c:pt idx="20">
                <c:v>120.89160335302103</c:v>
              </c:pt>
              <c:pt idx="21">
                <c:v>121.28941604572179</c:v>
              </c:pt>
              <c:pt idx="22">
                <c:v>121.66853996948271</c:v>
              </c:pt>
              <c:pt idx="23">
                <c:v>122.03053991829916</c:v>
              </c:pt>
              <c:pt idx="24">
                <c:v>122.37678762784878</c:v>
              </c:pt>
              <c:pt idx="25">
                <c:v>122.70849228336397</c:v>
              </c:pt>
              <c:pt idx="26">
                <c:v>123.02672522960864</c:v>
              </c:pt>
              <c:pt idx="27">
                <c:v>123.33244015692216</c:v>
              </c:pt>
              <c:pt idx="28">
                <c:v>123.62648972222036</c:v>
              </c:pt>
              <c:pt idx="29">
                <c:v>123.90963933479026</c:v>
              </c:pt>
              <c:pt idx="30">
                <c:v>124.18257866813826</c:v>
              </c:pt>
              <c:pt idx="31">
                <c:v>124.44593133365476</c:v>
              </c:pt>
              <c:pt idx="32">
                <c:v>124.7002630574425</c:v>
              </c:pt>
              <c:pt idx="33">
                <c:v>124.94608862991774</c:v>
              </c:pt>
              <c:pt idx="34">
                <c:v>125.18387784278593</c:v>
              </c:pt>
              <c:pt idx="35">
                <c:v>125.41406058544877</c:v>
              </c:pt>
              <c:pt idx="36">
                <c:v>125.63703123973062</c:v>
              </c:pt>
              <c:pt idx="37">
                <c:v>125.8531524857535</c:v>
              </c:pt>
              <c:pt idx="38">
                <c:v>126.06275861117621</c:v>
              </c:pt>
              <c:pt idx="39">
                <c:v>126.26615839959157</c:v>
              </c:pt>
              <c:pt idx="40">
                <c:v>126.46363766071536</c:v>
              </c:pt>
              <c:pt idx="41">
                <c:v>126.65546145438725</c:v>
              </c:pt>
              <c:pt idx="42">
                <c:v>126.8418760517992</c:v>
              </c:pt>
              <c:pt idx="43">
                <c:v>127.02311067034913</c:v>
              </c:pt>
              <c:pt idx="44">
                <c:v>127.19937901276947</c:v>
              </c:pt>
              <c:pt idx="45">
                <c:v>127.37088063644416</c:v>
              </c:pt>
              <c:pt idx="46">
                <c:v>127.53780217491226</c:v>
              </c:pt>
              <c:pt idx="47">
                <c:v>127.70031843030148</c:v>
              </c:pt>
              <c:pt idx="48">
                <c:v>127.85859335271908</c:v>
              </c:pt>
              <c:pt idx="49">
                <c:v>128.0127809203529</c:v>
              </c:pt>
            </c:numLit>
          </c:val>
          <c:extLst>
            <c:ext xmlns:c16="http://schemas.microsoft.com/office/drawing/2014/chart" uri="{C3380CC4-5D6E-409C-BE32-E72D297353CC}">
              <c16:uniqueId val="{00000013-8528-4EC3-BA84-58A13B9AFE50}"/>
            </c:ext>
          </c:extLst>
        </c:ser>
        <c:ser>
          <c:idx val="20"/>
          <c:order val="20"/>
          <c:tx>
            <c:v>214.3</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93.223275238383806</c:v>
              </c:pt>
              <c:pt idx="1">
                <c:v>100.08723824104588</c:v>
              </c:pt>
              <c:pt idx="2">
                <c:v>103.87205822757495</c:v>
              </c:pt>
              <c:pt idx="3">
                <c:v>106.49841944071073</c:v>
              </c:pt>
              <c:pt idx="4">
                <c:v>108.51122589089539</c:v>
              </c:pt>
              <c:pt idx="5">
                <c:v>110.14313175494127</c:v>
              </c:pt>
              <c:pt idx="6">
                <c:v>111.51525421894138</c:v>
              </c:pt>
              <c:pt idx="7">
                <c:v>112.69873937967327</c:v>
              </c:pt>
              <c:pt idx="8">
                <c:v>113.73895708679584</c:v>
              </c:pt>
              <c:pt idx="9">
                <c:v>114.66662142414168</c:v>
              </c:pt>
              <c:pt idx="10">
                <c:v>115.50349382795162</c:v>
              </c:pt>
              <c:pt idx="11">
                <c:v>116.2655564089705</c:v>
              </c:pt>
              <c:pt idx="12">
                <c:v>116.96489301805545</c:v>
              </c:pt>
              <c:pt idx="13">
                <c:v>117.610862254501</c:v>
              </c:pt>
              <c:pt idx="14">
                <c:v>118.2108599710628</c:v>
              </c:pt>
              <c:pt idx="15">
                <c:v>118.77083244623424</c:v>
              </c:pt>
              <c:pt idx="16">
                <c:v>119.29563208237886</c:v>
              </c:pt>
              <c:pt idx="17">
                <c:v>119.78927027948748</c:v>
              </c:pt>
              <c:pt idx="18">
                <c:v>120.25510121243536</c:v>
              </c:pt>
              <c:pt idx="19">
                <c:v>120.6959579988492</c:v>
              </c:pt>
              <c:pt idx="20">
                <c:v>121.11425533178601</c:v>
              </c:pt>
              <c:pt idx="21">
                <c:v>121.51206802448684</c:v>
              </c:pt>
              <c:pt idx="22">
                <c:v>121.89119194824772</c:v>
              </c:pt>
              <c:pt idx="23">
                <c:v>122.2531918970642</c:v>
              </c:pt>
              <c:pt idx="24">
                <c:v>122.59943960661377</c:v>
              </c:pt>
              <c:pt idx="25">
                <c:v>122.93114426212901</c:v>
              </c:pt>
              <c:pt idx="26">
                <c:v>123.24937720837366</c:v>
              </c:pt>
              <c:pt idx="27">
                <c:v>123.55509213568718</c:v>
              </c:pt>
              <c:pt idx="28">
                <c:v>123.84914170098537</c:v>
              </c:pt>
              <c:pt idx="29">
                <c:v>124.13229131355527</c:v>
              </c:pt>
              <c:pt idx="30">
                <c:v>124.40523064690325</c:v>
              </c:pt>
              <c:pt idx="31">
                <c:v>124.6685833124198</c:v>
              </c:pt>
              <c:pt idx="32">
                <c:v>124.92291503620754</c:v>
              </c:pt>
              <c:pt idx="33">
                <c:v>125.16874060868275</c:v>
              </c:pt>
              <c:pt idx="34">
                <c:v>125.40652982155092</c:v>
              </c:pt>
              <c:pt idx="35">
                <c:v>125.63671256421378</c:v>
              </c:pt>
              <c:pt idx="36">
                <c:v>125.85968321849563</c:v>
              </c:pt>
              <c:pt idx="37">
                <c:v>126.07580446451851</c:v>
              </c:pt>
              <c:pt idx="38">
                <c:v>126.28541058994122</c:v>
              </c:pt>
              <c:pt idx="39">
                <c:v>126.48881037835659</c:v>
              </c:pt>
              <c:pt idx="40">
                <c:v>126.68628963948038</c:v>
              </c:pt>
              <c:pt idx="41">
                <c:v>126.87811343315229</c:v>
              </c:pt>
              <c:pt idx="42">
                <c:v>127.06452803056419</c:v>
              </c:pt>
              <c:pt idx="43">
                <c:v>127.24576264911414</c:v>
              </c:pt>
              <c:pt idx="44">
                <c:v>127.42203099153448</c:v>
              </c:pt>
              <c:pt idx="45">
                <c:v>127.59353261520917</c:v>
              </c:pt>
              <c:pt idx="46">
                <c:v>127.76045415367727</c:v>
              </c:pt>
              <c:pt idx="47">
                <c:v>127.92297040906652</c:v>
              </c:pt>
              <c:pt idx="48">
                <c:v>128.08124533148407</c:v>
              </c:pt>
              <c:pt idx="49">
                <c:v>128.23543289911788</c:v>
              </c:pt>
            </c:numLit>
          </c:val>
          <c:extLst>
            <c:ext xmlns:c16="http://schemas.microsoft.com/office/drawing/2014/chart" uri="{C3380CC4-5D6E-409C-BE32-E72D297353CC}">
              <c16:uniqueId val="{00000014-8528-4EC3-BA84-58A13B9AFE50}"/>
            </c:ext>
          </c:extLst>
        </c:ser>
        <c:ser>
          <c:idx val="21"/>
          <c:order val="21"/>
          <c:tx>
            <c:v>224.5</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93.435066921901253</c:v>
              </c:pt>
              <c:pt idx="1">
                <c:v>100.29902992456333</c:v>
              </c:pt>
              <c:pt idx="2">
                <c:v>104.08384991109239</c:v>
              </c:pt>
              <c:pt idx="3">
                <c:v>106.71021112422818</c:v>
              </c:pt>
              <c:pt idx="4">
                <c:v>108.72301757441284</c:v>
              </c:pt>
              <c:pt idx="5">
                <c:v>110.35492343845868</c:v>
              </c:pt>
              <c:pt idx="6">
                <c:v>111.72704590245883</c:v>
              </c:pt>
              <c:pt idx="7">
                <c:v>112.91053106319066</c:v>
              </c:pt>
              <c:pt idx="8">
                <c:v>113.95074877031328</c:v>
              </c:pt>
              <c:pt idx="9">
                <c:v>114.87841310765913</c:v>
              </c:pt>
              <c:pt idx="10">
                <c:v>115.71528551146903</c:v>
              </c:pt>
              <c:pt idx="11">
                <c:v>116.47734809248794</c:v>
              </c:pt>
              <c:pt idx="12">
                <c:v>117.1766847015729</c:v>
              </c:pt>
              <c:pt idx="13">
                <c:v>117.82265393801845</c:v>
              </c:pt>
              <c:pt idx="14">
                <c:v>118.42265165458025</c:v>
              </c:pt>
              <c:pt idx="15">
                <c:v>118.98262412975168</c:v>
              </c:pt>
              <c:pt idx="16">
                <c:v>119.50742376589628</c:v>
              </c:pt>
              <c:pt idx="17">
                <c:v>120.00106196300493</c:v>
              </c:pt>
              <c:pt idx="18">
                <c:v>120.46689289595281</c:v>
              </c:pt>
              <c:pt idx="19">
                <c:v>120.90774968236661</c:v>
              </c:pt>
              <c:pt idx="20">
                <c:v>121.32604701530346</c:v>
              </c:pt>
              <c:pt idx="21">
                <c:v>121.72385970800428</c:v>
              </c:pt>
              <c:pt idx="22">
                <c:v>122.10298363176517</c:v>
              </c:pt>
              <c:pt idx="23">
                <c:v>122.46498358058165</c:v>
              </c:pt>
              <c:pt idx="24">
                <c:v>122.81123129013122</c:v>
              </c:pt>
              <c:pt idx="25">
                <c:v>123.14293594564646</c:v>
              </c:pt>
              <c:pt idx="26">
                <c:v>123.46116889189108</c:v>
              </c:pt>
              <c:pt idx="27">
                <c:v>123.76688381920462</c:v>
              </c:pt>
              <c:pt idx="28">
                <c:v>124.06093338450279</c:v>
              </c:pt>
              <c:pt idx="29">
                <c:v>124.34408299707269</c:v>
              </c:pt>
              <c:pt idx="30">
                <c:v>124.6170223304207</c:v>
              </c:pt>
              <c:pt idx="31">
                <c:v>124.88037499593719</c:v>
              </c:pt>
              <c:pt idx="32">
                <c:v>125.13470671972493</c:v>
              </c:pt>
              <c:pt idx="33">
                <c:v>125.3805322922002</c:v>
              </c:pt>
              <c:pt idx="34">
                <c:v>125.61832150506837</c:v>
              </c:pt>
              <c:pt idx="35">
                <c:v>125.84850424773123</c:v>
              </c:pt>
              <c:pt idx="36">
                <c:v>126.07147490201305</c:v>
              </c:pt>
              <c:pt idx="37">
                <c:v>126.28759614803596</c:v>
              </c:pt>
              <c:pt idx="38">
                <c:v>126.49720227345864</c:v>
              </c:pt>
              <c:pt idx="39">
                <c:v>126.70060206187404</c:v>
              </c:pt>
              <c:pt idx="40">
                <c:v>126.89808132299783</c:v>
              </c:pt>
              <c:pt idx="41">
                <c:v>127.08990511666968</c:v>
              </c:pt>
              <c:pt idx="42">
                <c:v>127.27631971408164</c:v>
              </c:pt>
              <c:pt idx="43">
                <c:v>127.45755433263156</c:v>
              </c:pt>
              <c:pt idx="44">
                <c:v>127.63382267505193</c:v>
              </c:pt>
              <c:pt idx="45">
                <c:v>127.80532429872662</c:v>
              </c:pt>
              <c:pt idx="46">
                <c:v>127.97224583719469</c:v>
              </c:pt>
              <c:pt idx="47">
                <c:v>128.13476209258397</c:v>
              </c:pt>
              <c:pt idx="48">
                <c:v>128.29303701500152</c:v>
              </c:pt>
              <c:pt idx="49">
                <c:v>128.44722458263533</c:v>
              </c:pt>
            </c:numLit>
          </c:val>
          <c:extLst>
            <c:ext xmlns:c16="http://schemas.microsoft.com/office/drawing/2014/chart" uri="{C3380CC4-5D6E-409C-BE32-E72D297353CC}">
              <c16:uniqueId val="{00000015-8528-4EC3-BA84-58A13B9AFE50}"/>
            </c:ext>
          </c:extLst>
        </c:ser>
        <c:ser>
          <c:idx val="22"/>
          <c:order val="22"/>
          <c:tx>
            <c:v>234.7</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93.637008683295235</c:v>
              </c:pt>
              <c:pt idx="1">
                <c:v>100.50097168595731</c:v>
              </c:pt>
              <c:pt idx="2">
                <c:v>104.28579167248637</c:v>
              </c:pt>
              <c:pt idx="3">
                <c:v>106.91215288562216</c:v>
              </c:pt>
              <c:pt idx="4">
                <c:v>108.92495933580682</c:v>
              </c:pt>
              <c:pt idx="5">
                <c:v>110.55686519985269</c:v>
              </c:pt>
              <c:pt idx="6">
                <c:v>111.92898766385281</c:v>
              </c:pt>
              <c:pt idx="7">
                <c:v>113.1124728245847</c:v>
              </c:pt>
              <c:pt idx="8">
                <c:v>114.15269053170726</c:v>
              </c:pt>
              <c:pt idx="9">
                <c:v>115.08035486905311</c:v>
              </c:pt>
              <c:pt idx="10">
                <c:v>115.91722727286304</c:v>
              </c:pt>
              <c:pt idx="11">
                <c:v>116.67928985388193</c:v>
              </c:pt>
              <c:pt idx="12">
                <c:v>117.37862646296688</c:v>
              </c:pt>
              <c:pt idx="13">
                <c:v>118.02459569941243</c:v>
              </c:pt>
              <c:pt idx="14">
                <c:v>118.62459341597423</c:v>
              </c:pt>
              <c:pt idx="15">
                <c:v>119.18456589114567</c:v>
              </c:pt>
              <c:pt idx="16">
                <c:v>119.70936552729029</c:v>
              </c:pt>
              <c:pt idx="17">
                <c:v>120.20300372439891</c:v>
              </c:pt>
              <c:pt idx="18">
                <c:v>120.66883465734679</c:v>
              </c:pt>
              <c:pt idx="19">
                <c:v>121.10969144376062</c:v>
              </c:pt>
              <c:pt idx="20">
                <c:v>121.52798877669744</c:v>
              </c:pt>
              <c:pt idx="21">
                <c:v>121.92580146939827</c:v>
              </c:pt>
              <c:pt idx="22">
                <c:v>122.30492539315915</c:v>
              </c:pt>
              <c:pt idx="23">
                <c:v>122.66692534197563</c:v>
              </c:pt>
              <c:pt idx="24">
                <c:v>123.0131730515252</c:v>
              </c:pt>
              <c:pt idx="25">
                <c:v>123.34487770704044</c:v>
              </c:pt>
              <c:pt idx="26">
                <c:v>123.66311065328509</c:v>
              </c:pt>
              <c:pt idx="27">
                <c:v>123.9688255805986</c:v>
              </c:pt>
              <c:pt idx="28">
                <c:v>124.2628751458968</c:v>
              </c:pt>
              <c:pt idx="29">
                <c:v>124.5460247584667</c:v>
              </c:pt>
              <c:pt idx="30">
                <c:v>124.81896409181468</c:v>
              </c:pt>
              <c:pt idx="31">
                <c:v>125.08231675733123</c:v>
              </c:pt>
              <c:pt idx="32">
                <c:v>125.33664848111897</c:v>
              </c:pt>
              <c:pt idx="33">
                <c:v>125.58247405359418</c:v>
              </c:pt>
              <c:pt idx="34">
                <c:v>125.82026326646235</c:v>
              </c:pt>
              <c:pt idx="35">
                <c:v>126.05044600912521</c:v>
              </c:pt>
              <c:pt idx="36">
                <c:v>126.27341666340706</c:v>
              </c:pt>
              <c:pt idx="37">
                <c:v>126.48953790942994</c:v>
              </c:pt>
              <c:pt idx="38">
                <c:v>126.69914403485265</c:v>
              </c:pt>
              <c:pt idx="39">
                <c:v>126.90254382326802</c:v>
              </c:pt>
              <c:pt idx="40">
                <c:v>127.10002308439181</c:v>
              </c:pt>
              <c:pt idx="41">
                <c:v>127.29184687806372</c:v>
              </c:pt>
              <c:pt idx="42">
                <c:v>127.47826147547562</c:v>
              </c:pt>
              <c:pt idx="43">
                <c:v>127.65949609402557</c:v>
              </c:pt>
              <c:pt idx="44">
                <c:v>127.83576443644591</c:v>
              </c:pt>
              <c:pt idx="45">
                <c:v>128.0072660601206</c:v>
              </c:pt>
              <c:pt idx="46">
                <c:v>128.1741875985887</c:v>
              </c:pt>
              <c:pt idx="47">
                <c:v>128.33670385397795</c:v>
              </c:pt>
              <c:pt idx="48">
                <c:v>128.4949787763955</c:v>
              </c:pt>
              <c:pt idx="49">
                <c:v>128.64916634402931</c:v>
              </c:pt>
            </c:numLit>
          </c:val>
          <c:extLst>
            <c:ext xmlns:c16="http://schemas.microsoft.com/office/drawing/2014/chart" uri="{C3380CC4-5D6E-409C-BE32-E72D297353CC}">
              <c16:uniqueId val="{00000016-8528-4EC3-BA84-58A13B9AFE50}"/>
            </c:ext>
          </c:extLst>
        </c:ser>
        <c:ser>
          <c:idx val="23"/>
          <c:order val="23"/>
          <c:tx>
            <c:v>244.9</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93.829976142705689</c:v>
              </c:pt>
              <c:pt idx="1">
                <c:v>100.69393914536774</c:v>
              </c:pt>
              <c:pt idx="2">
                <c:v>104.47875913189679</c:v>
              </c:pt>
              <c:pt idx="3">
                <c:v>107.10512034503256</c:v>
              </c:pt>
              <c:pt idx="4">
                <c:v>109.11792679521722</c:v>
              </c:pt>
              <c:pt idx="5">
                <c:v>110.74983265926312</c:v>
              </c:pt>
              <c:pt idx="6">
                <c:v>112.12195512326321</c:v>
              </c:pt>
              <c:pt idx="7">
                <c:v>113.3054402839951</c:v>
              </c:pt>
              <c:pt idx="8">
                <c:v>114.34565799111766</c:v>
              </c:pt>
              <c:pt idx="9">
                <c:v>115.27332232846354</c:v>
              </c:pt>
              <c:pt idx="10">
                <c:v>116.11019473227344</c:v>
              </c:pt>
              <c:pt idx="11">
                <c:v>116.87225731329235</c:v>
              </c:pt>
              <c:pt idx="12">
                <c:v>117.5715939223773</c:v>
              </c:pt>
              <c:pt idx="13">
                <c:v>118.21756315882283</c:v>
              </c:pt>
              <c:pt idx="14">
                <c:v>118.81756087538466</c:v>
              </c:pt>
              <c:pt idx="15">
                <c:v>119.37753335055606</c:v>
              </c:pt>
              <c:pt idx="16">
                <c:v>119.90233298670069</c:v>
              </c:pt>
              <c:pt idx="17">
                <c:v>120.39597118380937</c:v>
              </c:pt>
              <c:pt idx="18">
                <c:v>120.86180211675719</c:v>
              </c:pt>
              <c:pt idx="19">
                <c:v>121.30265890317105</c:v>
              </c:pt>
              <c:pt idx="20">
                <c:v>121.7209562361079</c:v>
              </c:pt>
              <c:pt idx="21">
                <c:v>122.11876892880866</c:v>
              </c:pt>
              <c:pt idx="22">
                <c:v>122.49789285256958</c:v>
              </c:pt>
              <c:pt idx="23">
                <c:v>122.85989280138602</c:v>
              </c:pt>
              <c:pt idx="24">
                <c:v>123.20614051093563</c:v>
              </c:pt>
              <c:pt idx="25">
                <c:v>123.53784516645084</c:v>
              </c:pt>
              <c:pt idx="26">
                <c:v>123.85607811269551</c:v>
              </c:pt>
              <c:pt idx="27">
                <c:v>124.16179304000903</c:v>
              </c:pt>
              <c:pt idx="28">
                <c:v>124.45584260530723</c:v>
              </c:pt>
              <c:pt idx="29">
                <c:v>124.73899221787713</c:v>
              </c:pt>
              <c:pt idx="30">
                <c:v>125.0119315512251</c:v>
              </c:pt>
              <c:pt idx="31">
                <c:v>125.27528421674162</c:v>
              </c:pt>
              <c:pt idx="32">
                <c:v>125.52961594052937</c:v>
              </c:pt>
              <c:pt idx="33">
                <c:v>125.77544151300461</c:v>
              </c:pt>
              <c:pt idx="34">
                <c:v>126.01323072587277</c:v>
              </c:pt>
              <c:pt idx="35">
                <c:v>126.24341346853564</c:v>
              </c:pt>
              <c:pt idx="36">
                <c:v>126.46638412281749</c:v>
              </c:pt>
              <c:pt idx="37">
                <c:v>126.68250536884037</c:v>
              </c:pt>
              <c:pt idx="38">
                <c:v>126.89211149426308</c:v>
              </c:pt>
              <c:pt idx="39">
                <c:v>127.09551128267844</c:v>
              </c:pt>
              <c:pt idx="40">
                <c:v>127.2929905438022</c:v>
              </c:pt>
              <c:pt idx="41">
                <c:v>127.48481433747412</c:v>
              </c:pt>
              <c:pt idx="42">
                <c:v>127.67122893488605</c:v>
              </c:pt>
              <c:pt idx="43">
                <c:v>127.852463553436</c:v>
              </c:pt>
              <c:pt idx="44">
                <c:v>128.02873189585634</c:v>
              </c:pt>
              <c:pt idx="45">
                <c:v>128.20023351953103</c:v>
              </c:pt>
              <c:pt idx="46">
                <c:v>128.36715505799913</c:v>
              </c:pt>
              <c:pt idx="47">
                <c:v>128.52967131338835</c:v>
              </c:pt>
              <c:pt idx="48">
                <c:v>128.68794623580595</c:v>
              </c:pt>
              <c:pt idx="49">
                <c:v>128.84213380343976</c:v>
              </c:pt>
            </c:numLit>
          </c:val>
          <c:extLst>
            <c:ext xmlns:c16="http://schemas.microsoft.com/office/drawing/2014/chart" uri="{C3380CC4-5D6E-409C-BE32-E72D297353CC}">
              <c16:uniqueId val="{00000017-8528-4EC3-BA84-58A13B9AFE50}"/>
            </c:ext>
          </c:extLst>
        </c:ser>
        <c:ser>
          <c:idx val="24"/>
          <c:order val="24"/>
          <c:tx>
            <c:v>255.2</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94.014733113383855</c:v>
              </c:pt>
              <c:pt idx="1">
                <c:v>100.87869611604593</c:v>
              </c:pt>
              <c:pt idx="2">
                <c:v>104.66351610257499</c:v>
              </c:pt>
              <c:pt idx="3">
                <c:v>107.28987731571078</c:v>
              </c:pt>
              <c:pt idx="4">
                <c:v>109.30268376589544</c:v>
              </c:pt>
              <c:pt idx="5">
                <c:v>110.93458962994131</c:v>
              </c:pt>
              <c:pt idx="6">
                <c:v>112.30671209394143</c:v>
              </c:pt>
              <c:pt idx="7">
                <c:v>113.49019725467329</c:v>
              </c:pt>
              <c:pt idx="8">
                <c:v>114.53041496179588</c:v>
              </c:pt>
              <c:pt idx="9">
                <c:v>115.45807929914173</c:v>
              </c:pt>
              <c:pt idx="10">
                <c:v>116.29495170295166</c:v>
              </c:pt>
              <c:pt idx="11">
                <c:v>117.05701428397055</c:v>
              </c:pt>
              <c:pt idx="12">
                <c:v>117.7563508930555</c:v>
              </c:pt>
              <c:pt idx="13">
                <c:v>118.40232012950105</c:v>
              </c:pt>
              <c:pt idx="14">
                <c:v>119.00231784606285</c:v>
              </c:pt>
              <c:pt idx="15">
                <c:v>119.56229032123429</c:v>
              </c:pt>
              <c:pt idx="16">
                <c:v>120.08708995737891</c:v>
              </c:pt>
              <c:pt idx="17">
                <c:v>120.58072815448753</c:v>
              </c:pt>
              <c:pt idx="18">
                <c:v>121.04655908743541</c:v>
              </c:pt>
              <c:pt idx="19">
                <c:v>121.48741587384922</c:v>
              </c:pt>
              <c:pt idx="20">
                <c:v>121.90571320678606</c:v>
              </c:pt>
              <c:pt idx="21">
                <c:v>122.30352589948689</c:v>
              </c:pt>
              <c:pt idx="22">
                <c:v>122.68264982324777</c:v>
              </c:pt>
              <c:pt idx="23">
                <c:v>123.04464977206425</c:v>
              </c:pt>
              <c:pt idx="24">
                <c:v>123.39089748161382</c:v>
              </c:pt>
              <c:pt idx="25">
                <c:v>123.72260213712906</c:v>
              </c:pt>
              <c:pt idx="26">
                <c:v>124.04083508337368</c:v>
              </c:pt>
              <c:pt idx="27">
                <c:v>124.34655001068722</c:v>
              </c:pt>
              <c:pt idx="28">
                <c:v>124.64059957598542</c:v>
              </c:pt>
              <c:pt idx="29">
                <c:v>124.92374918855529</c:v>
              </c:pt>
              <c:pt idx="30">
                <c:v>125.1966885219033</c:v>
              </c:pt>
              <c:pt idx="31">
                <c:v>125.46004118741982</c:v>
              </c:pt>
              <c:pt idx="32">
                <c:v>125.71437291120756</c:v>
              </c:pt>
              <c:pt idx="33">
                <c:v>125.9601984836828</c:v>
              </c:pt>
              <c:pt idx="34">
                <c:v>126.19798769655097</c:v>
              </c:pt>
              <c:pt idx="35">
                <c:v>126.42817043921383</c:v>
              </c:pt>
              <c:pt idx="36">
                <c:v>126.65114109349568</c:v>
              </c:pt>
              <c:pt idx="37">
                <c:v>126.86726233951856</c:v>
              </c:pt>
              <c:pt idx="38">
                <c:v>127.07686846494127</c:v>
              </c:pt>
              <c:pt idx="39">
                <c:v>127.28026825335664</c:v>
              </c:pt>
              <c:pt idx="40">
                <c:v>127.47774751448043</c:v>
              </c:pt>
              <c:pt idx="41">
                <c:v>127.66957130815231</c:v>
              </c:pt>
              <c:pt idx="42">
                <c:v>127.85598590556424</c:v>
              </c:pt>
              <c:pt idx="43">
                <c:v>128.03722052411419</c:v>
              </c:pt>
              <c:pt idx="44">
                <c:v>128.21348886653453</c:v>
              </c:pt>
              <c:pt idx="45">
                <c:v>128.38499049020922</c:v>
              </c:pt>
              <c:pt idx="46">
                <c:v>128.55191202867732</c:v>
              </c:pt>
              <c:pt idx="47">
                <c:v>128.71442828406657</c:v>
              </c:pt>
              <c:pt idx="48">
                <c:v>128.87270320648412</c:v>
              </c:pt>
              <c:pt idx="49">
                <c:v>129.02689077411793</c:v>
              </c:pt>
            </c:numLit>
          </c:val>
          <c:extLst>
            <c:ext xmlns:c16="http://schemas.microsoft.com/office/drawing/2014/chart" uri="{C3380CC4-5D6E-409C-BE32-E72D297353CC}">
              <c16:uniqueId val="{00000018-8528-4EC3-BA84-58A13B9AFE50}"/>
            </c:ext>
          </c:extLst>
        </c:ser>
        <c:ser>
          <c:idx val="25"/>
          <c:order val="25"/>
          <c:tx>
            <c:v>265.4</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94.191949862418724</c:v>
              </c:pt>
              <c:pt idx="1">
                <c:v>101.0559128650808</c:v>
              </c:pt>
              <c:pt idx="2">
                <c:v>104.84073285160986</c:v>
              </c:pt>
              <c:pt idx="3">
                <c:v>107.46709406474565</c:v>
              </c:pt>
              <c:pt idx="4">
                <c:v>109.47990051493031</c:v>
              </c:pt>
              <c:pt idx="5">
                <c:v>111.11180637897618</c:v>
              </c:pt>
              <c:pt idx="6">
                <c:v>112.4839288429763</c:v>
              </c:pt>
              <c:pt idx="7">
                <c:v>113.66741400370819</c:v>
              </c:pt>
              <c:pt idx="8">
                <c:v>114.70763171083075</c:v>
              </c:pt>
              <c:pt idx="9">
                <c:v>115.6352960481766</c:v>
              </c:pt>
              <c:pt idx="10">
                <c:v>116.47216845198653</c:v>
              </c:pt>
              <c:pt idx="11">
                <c:v>117.23423103300541</c:v>
              </c:pt>
              <c:pt idx="12">
                <c:v>117.93356764209037</c:v>
              </c:pt>
              <c:pt idx="13">
                <c:v>118.57953687853592</c:v>
              </c:pt>
              <c:pt idx="14">
                <c:v>119.17953459509772</c:v>
              </c:pt>
              <c:pt idx="15">
                <c:v>119.73950707026916</c:v>
              </c:pt>
              <c:pt idx="16">
                <c:v>120.26430670641378</c:v>
              </c:pt>
              <c:pt idx="17">
                <c:v>120.7579449035224</c:v>
              </c:pt>
              <c:pt idx="18">
                <c:v>121.22377583647028</c:v>
              </c:pt>
              <c:pt idx="19">
                <c:v>121.66463262288411</c:v>
              </c:pt>
              <c:pt idx="20">
                <c:v>122.08292995582093</c:v>
              </c:pt>
              <c:pt idx="21">
                <c:v>122.48074264852175</c:v>
              </c:pt>
              <c:pt idx="22">
                <c:v>122.85986657228264</c:v>
              </c:pt>
              <c:pt idx="23">
                <c:v>123.22186652109912</c:v>
              </c:pt>
              <c:pt idx="24">
                <c:v>123.56811423064869</c:v>
              </c:pt>
              <c:pt idx="25">
                <c:v>123.89981888616393</c:v>
              </c:pt>
              <c:pt idx="26">
                <c:v>124.21805183240858</c:v>
              </c:pt>
              <c:pt idx="27">
                <c:v>124.52376675972209</c:v>
              </c:pt>
              <c:pt idx="28">
                <c:v>124.81781632502029</c:v>
              </c:pt>
              <c:pt idx="29">
                <c:v>125.10096593759019</c:v>
              </c:pt>
              <c:pt idx="30">
                <c:v>125.37390527093817</c:v>
              </c:pt>
              <c:pt idx="31">
                <c:v>125.63725793645472</c:v>
              </c:pt>
              <c:pt idx="32">
                <c:v>125.89158966024246</c:v>
              </c:pt>
              <c:pt idx="33">
                <c:v>126.13741523271767</c:v>
              </c:pt>
              <c:pt idx="34">
                <c:v>126.37520444558584</c:v>
              </c:pt>
              <c:pt idx="35">
                <c:v>126.6053871882487</c:v>
              </c:pt>
              <c:pt idx="36">
                <c:v>126.82835784253055</c:v>
              </c:pt>
              <c:pt idx="37">
                <c:v>127.04447908855343</c:v>
              </c:pt>
              <c:pt idx="38">
                <c:v>127.25408521397614</c:v>
              </c:pt>
              <c:pt idx="39">
                <c:v>127.45748500239151</c:v>
              </c:pt>
              <c:pt idx="40">
                <c:v>127.6549642635153</c:v>
              </c:pt>
              <c:pt idx="41">
                <c:v>127.84678805718721</c:v>
              </c:pt>
              <c:pt idx="42">
                <c:v>128.03320265459911</c:v>
              </c:pt>
              <c:pt idx="43">
                <c:v>128.21443727314906</c:v>
              </c:pt>
              <c:pt idx="44">
                <c:v>128.3907056155694</c:v>
              </c:pt>
              <c:pt idx="45">
                <c:v>128.56220723924409</c:v>
              </c:pt>
              <c:pt idx="46">
                <c:v>128.72912877771219</c:v>
              </c:pt>
              <c:pt idx="47">
                <c:v>128.89164503310144</c:v>
              </c:pt>
              <c:pt idx="48">
                <c:v>129.04991995551899</c:v>
              </c:pt>
              <c:pt idx="49">
                <c:v>129.2041075231528</c:v>
              </c:pt>
            </c:numLit>
          </c:val>
          <c:extLst>
            <c:ext xmlns:c16="http://schemas.microsoft.com/office/drawing/2014/chart" uri="{C3380CC4-5D6E-409C-BE32-E72D297353CC}">
              <c16:uniqueId val="{00000019-8528-4EC3-BA84-58A13B9AFE50}"/>
            </c:ext>
          </c:extLst>
        </c:ser>
        <c:ser>
          <c:idx val="26"/>
          <c:order val="26"/>
          <c:tx>
            <c:v>275.6</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94.362217789237562</c:v>
              </c:pt>
              <c:pt idx="1">
                <c:v>101.22618079189964</c:v>
              </c:pt>
              <c:pt idx="2">
                <c:v>105.01100077842869</c:v>
              </c:pt>
              <c:pt idx="3">
                <c:v>107.63736199156449</c:v>
              </c:pt>
              <c:pt idx="4">
                <c:v>109.65016844174914</c:v>
              </c:pt>
              <c:pt idx="5">
                <c:v>111.28207430579499</c:v>
              </c:pt>
              <c:pt idx="6">
                <c:v>112.65419676979513</c:v>
              </c:pt>
              <c:pt idx="7">
                <c:v>113.837681930527</c:v>
              </c:pt>
              <c:pt idx="8">
                <c:v>114.87789963764959</c:v>
              </c:pt>
              <c:pt idx="9">
                <c:v>115.80556397499544</c:v>
              </c:pt>
              <c:pt idx="10">
                <c:v>116.64243637880534</c:v>
              </c:pt>
              <c:pt idx="11">
                <c:v>117.40449895982425</c:v>
              </c:pt>
              <c:pt idx="12">
                <c:v>118.1038355689092</c:v>
              </c:pt>
              <c:pt idx="13">
                <c:v>118.74980480535476</c:v>
              </c:pt>
              <c:pt idx="14">
                <c:v>119.34980252191656</c:v>
              </c:pt>
              <c:pt idx="15">
                <c:v>119.90977499708799</c:v>
              </c:pt>
              <c:pt idx="16">
                <c:v>120.43457463323259</c:v>
              </c:pt>
              <c:pt idx="17">
                <c:v>120.92821283034124</c:v>
              </c:pt>
              <c:pt idx="18">
                <c:v>121.39404376328912</c:v>
              </c:pt>
              <c:pt idx="19">
                <c:v>121.83490054970292</c:v>
              </c:pt>
              <c:pt idx="20">
                <c:v>122.25319788263977</c:v>
              </c:pt>
              <c:pt idx="21">
                <c:v>122.65101057534059</c:v>
              </c:pt>
              <c:pt idx="22">
                <c:v>123.03013449910148</c:v>
              </c:pt>
              <c:pt idx="23">
                <c:v>123.39213444791795</c:v>
              </c:pt>
              <c:pt idx="24">
                <c:v>123.73838215746753</c:v>
              </c:pt>
              <c:pt idx="25">
                <c:v>124.07008681298277</c:v>
              </c:pt>
              <c:pt idx="26">
                <c:v>124.38831975922739</c:v>
              </c:pt>
              <c:pt idx="27">
                <c:v>124.69403468654093</c:v>
              </c:pt>
              <c:pt idx="28">
                <c:v>124.9880842518391</c:v>
              </c:pt>
              <c:pt idx="29">
                <c:v>125.271233864409</c:v>
              </c:pt>
              <c:pt idx="30">
                <c:v>125.544173197757</c:v>
              </c:pt>
              <c:pt idx="31">
                <c:v>125.80752586327353</c:v>
              </c:pt>
              <c:pt idx="32">
                <c:v>126.06185758706127</c:v>
              </c:pt>
              <c:pt idx="33">
                <c:v>126.30768315953651</c:v>
              </c:pt>
              <c:pt idx="34">
                <c:v>126.54547237240467</c:v>
              </c:pt>
              <c:pt idx="35">
                <c:v>126.77565511506754</c:v>
              </c:pt>
              <c:pt idx="36">
                <c:v>126.99862576934936</c:v>
              </c:pt>
              <c:pt idx="37">
                <c:v>127.21474701537227</c:v>
              </c:pt>
              <c:pt idx="38">
                <c:v>127.42435314079495</c:v>
              </c:pt>
              <c:pt idx="39">
                <c:v>127.62775292921035</c:v>
              </c:pt>
              <c:pt idx="40">
                <c:v>127.82523219033413</c:v>
              </c:pt>
              <c:pt idx="41">
                <c:v>128.01705598400602</c:v>
              </c:pt>
              <c:pt idx="42">
                <c:v>128.20347058141795</c:v>
              </c:pt>
              <c:pt idx="43">
                <c:v>128.38470519996787</c:v>
              </c:pt>
              <c:pt idx="44">
                <c:v>128.56097354238824</c:v>
              </c:pt>
              <c:pt idx="45">
                <c:v>128.73247516606293</c:v>
              </c:pt>
              <c:pt idx="46">
                <c:v>128.899396704531</c:v>
              </c:pt>
              <c:pt idx="47">
                <c:v>129.06191295992028</c:v>
              </c:pt>
              <c:pt idx="48">
                <c:v>129.22018788233783</c:v>
              </c:pt>
              <c:pt idx="49">
                <c:v>129.37437544997164</c:v>
              </c:pt>
            </c:numLit>
          </c:val>
          <c:extLst>
            <c:ext xmlns:c16="http://schemas.microsoft.com/office/drawing/2014/chart" uri="{C3380CC4-5D6E-409C-BE32-E72D297353CC}">
              <c16:uniqueId val="{0000001A-8528-4EC3-BA84-58A13B9AFE50}"/>
            </c:ext>
          </c:extLst>
        </c:ser>
        <c:ser>
          <c:idx val="27"/>
          <c:order val="27"/>
          <c:tx>
            <c:v>285.8</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94.526061333416223</c:v>
              </c:pt>
              <c:pt idx="1">
                <c:v>101.39002433607828</c:v>
              </c:pt>
              <c:pt idx="2">
                <c:v>105.17484432260736</c:v>
              </c:pt>
              <c:pt idx="3">
                <c:v>107.80120553574312</c:v>
              </c:pt>
              <c:pt idx="4">
                <c:v>109.81401198592778</c:v>
              </c:pt>
              <c:pt idx="5">
                <c:v>111.44591784997365</c:v>
              </c:pt>
              <c:pt idx="6">
                <c:v>112.81804031397377</c:v>
              </c:pt>
              <c:pt idx="7">
                <c:v>114.00152547470566</c:v>
              </c:pt>
              <c:pt idx="8">
                <c:v>115.04174318182822</c:v>
              </c:pt>
              <c:pt idx="9">
                <c:v>115.96940751917407</c:v>
              </c:pt>
              <c:pt idx="10">
                <c:v>116.806279922984</c:v>
              </c:pt>
              <c:pt idx="11">
                <c:v>117.56834250400289</c:v>
              </c:pt>
              <c:pt idx="12">
                <c:v>118.26767911308787</c:v>
              </c:pt>
              <c:pt idx="13">
                <c:v>118.91364834953339</c:v>
              </c:pt>
              <c:pt idx="14">
                <c:v>119.51364606609519</c:v>
              </c:pt>
              <c:pt idx="15">
                <c:v>120.07361854126663</c:v>
              </c:pt>
              <c:pt idx="16">
                <c:v>120.59841817741125</c:v>
              </c:pt>
              <c:pt idx="17">
                <c:v>121.0920563745199</c:v>
              </c:pt>
              <c:pt idx="18">
                <c:v>121.55788730746775</c:v>
              </c:pt>
              <c:pt idx="19">
                <c:v>121.99874409388158</c:v>
              </c:pt>
              <c:pt idx="20">
                <c:v>122.4170414268184</c:v>
              </c:pt>
              <c:pt idx="21">
                <c:v>122.81485411951923</c:v>
              </c:pt>
              <c:pt idx="22">
                <c:v>123.19397804328014</c:v>
              </c:pt>
              <c:pt idx="23">
                <c:v>123.55597799209659</c:v>
              </c:pt>
              <c:pt idx="24">
                <c:v>123.90222570164616</c:v>
              </c:pt>
              <c:pt idx="25">
                <c:v>124.2339303571614</c:v>
              </c:pt>
              <c:pt idx="26">
                <c:v>124.55216330340605</c:v>
              </c:pt>
              <c:pt idx="27">
                <c:v>124.85787823071956</c:v>
              </c:pt>
              <c:pt idx="28">
                <c:v>125.15192779601776</c:v>
              </c:pt>
              <c:pt idx="29">
                <c:v>125.43507740858766</c:v>
              </c:pt>
              <c:pt idx="30">
                <c:v>125.70801674193564</c:v>
              </c:pt>
              <c:pt idx="31">
                <c:v>125.97136940745219</c:v>
              </c:pt>
              <c:pt idx="32">
                <c:v>126.22570113123993</c:v>
              </c:pt>
              <c:pt idx="33">
                <c:v>126.47152670371514</c:v>
              </c:pt>
              <c:pt idx="34">
                <c:v>126.70931591658331</c:v>
              </c:pt>
              <c:pt idx="35">
                <c:v>126.9394986592462</c:v>
              </c:pt>
              <c:pt idx="36">
                <c:v>127.16246931352802</c:v>
              </c:pt>
              <c:pt idx="37">
                <c:v>127.3785905595509</c:v>
              </c:pt>
              <c:pt idx="38">
                <c:v>127.58819668497364</c:v>
              </c:pt>
              <c:pt idx="39">
                <c:v>127.79159647338901</c:v>
              </c:pt>
              <c:pt idx="40">
                <c:v>127.98907573451277</c:v>
              </c:pt>
              <c:pt idx="41">
                <c:v>128.18089952818468</c:v>
              </c:pt>
              <c:pt idx="42">
                <c:v>128.36731412559658</c:v>
              </c:pt>
              <c:pt idx="43">
                <c:v>128.54854874414653</c:v>
              </c:pt>
              <c:pt idx="44">
                <c:v>128.72481708656687</c:v>
              </c:pt>
              <c:pt idx="45">
                <c:v>128.89631871024159</c:v>
              </c:pt>
              <c:pt idx="46">
                <c:v>129.06324024870966</c:v>
              </c:pt>
              <c:pt idx="47">
                <c:v>129.22575650409891</c:v>
              </c:pt>
              <c:pt idx="48">
                <c:v>129.38403142651649</c:v>
              </c:pt>
              <c:pt idx="49">
                <c:v>129.5382189941503</c:v>
              </c:pt>
            </c:numLit>
          </c:val>
          <c:extLst>
            <c:ext xmlns:c16="http://schemas.microsoft.com/office/drawing/2014/chart" uri="{C3380CC4-5D6E-409C-BE32-E72D297353CC}">
              <c16:uniqueId val="{0000001B-8528-4EC3-BA84-58A13B9AFE50}"/>
            </c:ext>
          </c:extLst>
        </c:ser>
        <c:ser>
          <c:idx val="28"/>
          <c:order val="28"/>
          <c:tx>
            <c:v>296</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94.683947716623848</c:v>
              </c:pt>
              <c:pt idx="1">
                <c:v>101.54791071928589</c:v>
              </c:pt>
              <c:pt idx="2">
                <c:v>105.33273070581495</c:v>
              </c:pt>
              <c:pt idx="3">
                <c:v>107.95909191895072</c:v>
              </c:pt>
              <c:pt idx="4">
                <c:v>109.97189836913537</c:v>
              </c:pt>
              <c:pt idx="5">
                <c:v>111.60380423318128</c:v>
              </c:pt>
              <c:pt idx="6">
                <c:v>112.97592669718136</c:v>
              </c:pt>
              <c:pt idx="7">
                <c:v>114.15941185791326</c:v>
              </c:pt>
              <c:pt idx="8">
                <c:v>115.19962956503582</c:v>
              </c:pt>
              <c:pt idx="9">
                <c:v>116.12729390238169</c:v>
              </c:pt>
              <c:pt idx="10">
                <c:v>116.9641663061916</c:v>
              </c:pt>
              <c:pt idx="11">
                <c:v>117.72622888721051</c:v>
              </c:pt>
              <c:pt idx="12">
                <c:v>118.42556549629546</c:v>
              </c:pt>
              <c:pt idx="13">
                <c:v>119.07153473274099</c:v>
              </c:pt>
              <c:pt idx="14">
                <c:v>119.67153244930282</c:v>
              </c:pt>
              <c:pt idx="15">
                <c:v>120.23150492447422</c:v>
              </c:pt>
              <c:pt idx="16">
                <c:v>120.75630456061884</c:v>
              </c:pt>
              <c:pt idx="17">
                <c:v>121.24994275772752</c:v>
              </c:pt>
              <c:pt idx="18">
                <c:v>121.71577369067535</c:v>
              </c:pt>
              <c:pt idx="19">
                <c:v>122.15663047708921</c:v>
              </c:pt>
              <c:pt idx="20">
                <c:v>122.57492781002605</c:v>
              </c:pt>
              <c:pt idx="21">
                <c:v>122.97274050272682</c:v>
              </c:pt>
              <c:pt idx="22">
                <c:v>123.35186442648774</c:v>
              </c:pt>
              <c:pt idx="23">
                <c:v>123.71386437530418</c:v>
              </c:pt>
              <c:pt idx="24">
                <c:v>124.06011208485378</c:v>
              </c:pt>
              <c:pt idx="25">
                <c:v>124.39181674036899</c:v>
              </c:pt>
              <c:pt idx="26">
                <c:v>124.71004968661367</c:v>
              </c:pt>
              <c:pt idx="27">
                <c:v>125.01576461392719</c:v>
              </c:pt>
              <c:pt idx="28">
                <c:v>125.30981417922538</c:v>
              </c:pt>
              <c:pt idx="29">
                <c:v>125.59296379179528</c:v>
              </c:pt>
              <c:pt idx="30">
                <c:v>125.86590312514326</c:v>
              </c:pt>
              <c:pt idx="31">
                <c:v>126.12925579065978</c:v>
              </c:pt>
              <c:pt idx="32">
                <c:v>126.38358751444753</c:v>
              </c:pt>
              <c:pt idx="33">
                <c:v>126.62941308692277</c:v>
              </c:pt>
              <c:pt idx="34">
                <c:v>126.86720229979093</c:v>
              </c:pt>
              <c:pt idx="35">
                <c:v>127.09738504245379</c:v>
              </c:pt>
              <c:pt idx="36">
                <c:v>127.32035569673565</c:v>
              </c:pt>
              <c:pt idx="37">
                <c:v>127.53647694275853</c:v>
              </c:pt>
              <c:pt idx="38">
                <c:v>127.74608306818124</c:v>
              </c:pt>
              <c:pt idx="39">
                <c:v>127.9494828565966</c:v>
              </c:pt>
              <c:pt idx="40">
                <c:v>128.14696211772036</c:v>
              </c:pt>
              <c:pt idx="41">
                <c:v>128.33878591139228</c:v>
              </c:pt>
              <c:pt idx="42">
                <c:v>128.5252005088042</c:v>
              </c:pt>
              <c:pt idx="43">
                <c:v>128.70643512735415</c:v>
              </c:pt>
              <c:pt idx="44">
                <c:v>128.8827034697745</c:v>
              </c:pt>
              <c:pt idx="45">
                <c:v>129.05420509344918</c:v>
              </c:pt>
              <c:pt idx="46">
                <c:v>129.22112663191729</c:v>
              </c:pt>
              <c:pt idx="47">
                <c:v>129.38364288730651</c:v>
              </c:pt>
              <c:pt idx="48">
                <c:v>129.54191780972411</c:v>
              </c:pt>
              <c:pt idx="49">
                <c:v>129.69610537735792</c:v>
              </c:pt>
            </c:numLit>
          </c:val>
          <c:extLst>
            <c:ext xmlns:c16="http://schemas.microsoft.com/office/drawing/2014/chart" uri="{C3380CC4-5D6E-409C-BE32-E72D297353CC}">
              <c16:uniqueId val="{0000001C-8528-4EC3-BA84-58A13B9AFE50}"/>
            </c:ext>
          </c:extLst>
        </c:ser>
        <c:ser>
          <c:idx val="29"/>
          <c:order val="29"/>
          <c:tx>
            <c:v>306.2</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94.83629497488478</c:v>
              </c:pt>
              <c:pt idx="1">
                <c:v>101.70025797754684</c:v>
              </c:pt>
              <c:pt idx="2">
                <c:v>105.48507796407591</c:v>
              </c:pt>
              <c:pt idx="3">
                <c:v>108.11143917721168</c:v>
              </c:pt>
              <c:pt idx="4">
                <c:v>110.12424562739633</c:v>
              </c:pt>
              <c:pt idx="5">
                <c:v>111.75615149144221</c:v>
              </c:pt>
              <c:pt idx="6">
                <c:v>113.12827395544232</c:v>
              </c:pt>
              <c:pt idx="7">
                <c:v>114.31175911617419</c:v>
              </c:pt>
              <c:pt idx="8">
                <c:v>115.35197682329678</c:v>
              </c:pt>
              <c:pt idx="9">
                <c:v>116.27964116064265</c:v>
              </c:pt>
              <c:pt idx="10">
                <c:v>117.11651356445256</c:v>
              </c:pt>
              <c:pt idx="11">
                <c:v>117.87857614547147</c:v>
              </c:pt>
              <c:pt idx="12">
                <c:v>118.57791275455639</c:v>
              </c:pt>
              <c:pt idx="13">
                <c:v>119.22388199100195</c:v>
              </c:pt>
              <c:pt idx="14">
                <c:v>119.82387970756378</c:v>
              </c:pt>
              <c:pt idx="15">
                <c:v>120.38385218273518</c:v>
              </c:pt>
              <c:pt idx="16">
                <c:v>120.9086518188798</c:v>
              </c:pt>
              <c:pt idx="17">
                <c:v>121.40229001598846</c:v>
              </c:pt>
              <c:pt idx="18">
                <c:v>121.86812094893631</c:v>
              </c:pt>
              <c:pt idx="19">
                <c:v>122.30897773535014</c:v>
              </c:pt>
              <c:pt idx="20">
                <c:v>122.72727506828699</c:v>
              </c:pt>
              <c:pt idx="21">
                <c:v>123.12508776098778</c:v>
              </c:pt>
              <c:pt idx="22">
                <c:v>123.50421168474867</c:v>
              </c:pt>
              <c:pt idx="23">
                <c:v>123.86621163356514</c:v>
              </c:pt>
              <c:pt idx="24">
                <c:v>124.21245934311474</c:v>
              </c:pt>
              <c:pt idx="25">
                <c:v>124.54416399862995</c:v>
              </c:pt>
              <c:pt idx="26">
                <c:v>124.8623969448746</c:v>
              </c:pt>
              <c:pt idx="27">
                <c:v>125.16811187218815</c:v>
              </c:pt>
              <c:pt idx="28">
                <c:v>125.46216143748632</c:v>
              </c:pt>
              <c:pt idx="29">
                <c:v>125.74531105005622</c:v>
              </c:pt>
              <c:pt idx="30">
                <c:v>126.01825038340422</c:v>
              </c:pt>
              <c:pt idx="31">
                <c:v>126.28160304892072</c:v>
              </c:pt>
              <c:pt idx="32">
                <c:v>126.53593477270846</c:v>
              </c:pt>
              <c:pt idx="33">
                <c:v>126.78176034518373</c:v>
              </c:pt>
              <c:pt idx="34">
                <c:v>127.01954955805189</c:v>
              </c:pt>
              <c:pt idx="35">
                <c:v>127.24973230071475</c:v>
              </c:pt>
              <c:pt idx="36">
                <c:v>127.47270295499658</c:v>
              </c:pt>
              <c:pt idx="37">
                <c:v>127.68882420101949</c:v>
              </c:pt>
              <c:pt idx="38">
                <c:v>127.89843032644217</c:v>
              </c:pt>
              <c:pt idx="39">
                <c:v>128.10183011485753</c:v>
              </c:pt>
              <c:pt idx="40">
                <c:v>128.29930937598135</c:v>
              </c:pt>
              <c:pt idx="41">
                <c:v>128.49113316965321</c:v>
              </c:pt>
              <c:pt idx="42">
                <c:v>128.67754776706516</c:v>
              </c:pt>
              <c:pt idx="43">
                <c:v>128.85878238561509</c:v>
              </c:pt>
              <c:pt idx="44">
                <c:v>129.03505072803546</c:v>
              </c:pt>
              <c:pt idx="45">
                <c:v>129.20655235171012</c:v>
              </c:pt>
              <c:pt idx="46">
                <c:v>129.37347389017822</c:v>
              </c:pt>
              <c:pt idx="47">
                <c:v>129.53599014556747</c:v>
              </c:pt>
              <c:pt idx="48">
                <c:v>129.69426506798504</c:v>
              </c:pt>
              <c:pt idx="49">
                <c:v>129.84845263561886</c:v>
              </c:pt>
            </c:numLit>
          </c:val>
          <c:extLst>
            <c:ext xmlns:c16="http://schemas.microsoft.com/office/drawing/2014/chart" uri="{C3380CC4-5D6E-409C-BE32-E72D297353CC}">
              <c16:uniqueId val="{0000001D-8528-4EC3-BA84-58A13B9AFE50}"/>
            </c:ext>
          </c:extLst>
        </c:ser>
        <c:ser>
          <c:idx val="30"/>
          <c:order val="30"/>
          <c:tx>
            <c:v>316.4</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94.983478629035275</c:v>
              </c:pt>
              <c:pt idx="1">
                <c:v>101.84744163169734</c:v>
              </c:pt>
              <c:pt idx="2">
                <c:v>105.63226161822638</c:v>
              </c:pt>
              <c:pt idx="3">
                <c:v>108.25862283136217</c:v>
              </c:pt>
              <c:pt idx="4">
                <c:v>110.27142928154683</c:v>
              </c:pt>
              <c:pt idx="5">
                <c:v>111.90333514559271</c:v>
              </c:pt>
              <c:pt idx="6">
                <c:v>113.27545760959282</c:v>
              </c:pt>
              <c:pt idx="7">
                <c:v>114.45894277032471</c:v>
              </c:pt>
              <c:pt idx="8">
                <c:v>115.49916047744728</c:v>
              </c:pt>
              <c:pt idx="9">
                <c:v>116.42682481479312</c:v>
              </c:pt>
              <c:pt idx="10">
                <c:v>117.26369721860306</c:v>
              </c:pt>
              <c:pt idx="11">
                <c:v>118.02575979962194</c:v>
              </c:pt>
              <c:pt idx="12">
                <c:v>118.72509640870692</c:v>
              </c:pt>
              <c:pt idx="13">
                <c:v>119.37106564515244</c:v>
              </c:pt>
              <c:pt idx="14">
                <c:v>119.97106336171424</c:v>
              </c:pt>
              <c:pt idx="15">
                <c:v>120.53103583688568</c:v>
              </c:pt>
              <c:pt idx="16">
                <c:v>121.0558354730303</c:v>
              </c:pt>
              <c:pt idx="17">
                <c:v>121.54947367013895</c:v>
              </c:pt>
              <c:pt idx="18">
                <c:v>122.0153046030868</c:v>
              </c:pt>
              <c:pt idx="19">
                <c:v>122.45616138950064</c:v>
              </c:pt>
              <c:pt idx="20">
                <c:v>122.87445872243745</c:v>
              </c:pt>
              <c:pt idx="21">
                <c:v>123.27227141513828</c:v>
              </c:pt>
              <c:pt idx="22">
                <c:v>123.65139533889919</c:v>
              </c:pt>
              <c:pt idx="23">
                <c:v>124.01339528771564</c:v>
              </c:pt>
              <c:pt idx="24">
                <c:v>124.35964299726521</c:v>
              </c:pt>
              <c:pt idx="25">
                <c:v>124.69134765278045</c:v>
              </c:pt>
              <c:pt idx="26">
                <c:v>125.0095805990251</c:v>
              </c:pt>
              <c:pt idx="27">
                <c:v>125.31529552633862</c:v>
              </c:pt>
              <c:pt idx="28">
                <c:v>125.60934509163681</c:v>
              </c:pt>
              <c:pt idx="29">
                <c:v>125.89249470420671</c:v>
              </c:pt>
              <c:pt idx="30">
                <c:v>126.16543403755469</c:v>
              </c:pt>
              <c:pt idx="31">
                <c:v>126.42878670307124</c:v>
              </c:pt>
              <c:pt idx="32">
                <c:v>126.68311842685898</c:v>
              </c:pt>
              <c:pt idx="33">
                <c:v>126.92894399933419</c:v>
              </c:pt>
              <c:pt idx="34">
                <c:v>127.16673321220236</c:v>
              </c:pt>
              <c:pt idx="35">
                <c:v>127.39691595486522</c:v>
              </c:pt>
              <c:pt idx="36">
                <c:v>127.61988660914707</c:v>
              </c:pt>
              <c:pt idx="37">
                <c:v>127.83600785516995</c:v>
              </c:pt>
              <c:pt idx="38">
                <c:v>128.04561398059266</c:v>
              </c:pt>
              <c:pt idx="39">
                <c:v>128.24901376900806</c:v>
              </c:pt>
              <c:pt idx="40">
                <c:v>128.44649303013182</c:v>
              </c:pt>
              <c:pt idx="41">
                <c:v>128.63831682380373</c:v>
              </c:pt>
              <c:pt idx="42">
                <c:v>128.82473142121563</c:v>
              </c:pt>
              <c:pt idx="43">
                <c:v>129.00596603976558</c:v>
              </c:pt>
              <c:pt idx="44">
                <c:v>129.18223438218592</c:v>
              </c:pt>
              <c:pt idx="45">
                <c:v>129.35373600586064</c:v>
              </c:pt>
              <c:pt idx="46">
                <c:v>129.52065754432871</c:v>
              </c:pt>
              <c:pt idx="47">
                <c:v>129.68317379971796</c:v>
              </c:pt>
              <c:pt idx="48">
                <c:v>129.84144872213554</c:v>
              </c:pt>
              <c:pt idx="49">
                <c:v>129.99563628976935</c:v>
              </c:pt>
            </c:numLit>
          </c:val>
          <c:extLst>
            <c:ext xmlns:c16="http://schemas.microsoft.com/office/drawing/2014/chart" uri="{C3380CC4-5D6E-409C-BE32-E72D297353CC}">
              <c16:uniqueId val="{0000001E-8528-4EC3-BA84-58A13B9AFE50}"/>
            </c:ext>
          </c:extLst>
        </c:ser>
        <c:ser>
          <c:idx val="31"/>
          <c:order val="31"/>
          <c:tx>
            <c:v>326.6</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95.125837261371615</c:v>
              </c:pt>
              <c:pt idx="1">
                <c:v>101.98980026403369</c:v>
              </c:pt>
              <c:pt idx="2">
                <c:v>105.77462025056275</c:v>
              </c:pt>
              <c:pt idx="3">
                <c:v>108.40098146369854</c:v>
              </c:pt>
              <c:pt idx="4">
                <c:v>110.4137879138832</c:v>
              </c:pt>
              <c:pt idx="5">
                <c:v>112.04569377792907</c:v>
              </c:pt>
              <c:pt idx="6">
                <c:v>113.41781624192919</c:v>
              </c:pt>
              <c:pt idx="7">
                <c:v>114.60130140266108</c:v>
              </c:pt>
              <c:pt idx="8">
                <c:v>115.64151910978364</c:v>
              </c:pt>
              <c:pt idx="9">
                <c:v>116.56918344712949</c:v>
              </c:pt>
              <c:pt idx="10">
                <c:v>117.40605585093942</c:v>
              </c:pt>
              <c:pt idx="11">
                <c:v>118.16811843195831</c:v>
              </c:pt>
              <c:pt idx="12">
                <c:v>118.86745504104326</c:v>
              </c:pt>
              <c:pt idx="13">
                <c:v>119.51342427748881</c:v>
              </c:pt>
              <c:pt idx="14">
                <c:v>120.11342199405061</c:v>
              </c:pt>
              <c:pt idx="15">
                <c:v>120.67339446922205</c:v>
              </c:pt>
              <c:pt idx="16">
                <c:v>121.19819410536667</c:v>
              </c:pt>
              <c:pt idx="17">
                <c:v>121.69183230247529</c:v>
              </c:pt>
              <c:pt idx="18">
                <c:v>122.15766323542317</c:v>
              </c:pt>
              <c:pt idx="19">
                <c:v>122.598520021837</c:v>
              </c:pt>
              <c:pt idx="20">
                <c:v>123.01681735477382</c:v>
              </c:pt>
              <c:pt idx="21">
                <c:v>123.41463004747465</c:v>
              </c:pt>
              <c:pt idx="22">
                <c:v>123.79375397123553</c:v>
              </c:pt>
              <c:pt idx="23">
                <c:v>124.15575392005201</c:v>
              </c:pt>
              <c:pt idx="24">
                <c:v>124.50200162960158</c:v>
              </c:pt>
              <c:pt idx="25">
                <c:v>124.83370628511682</c:v>
              </c:pt>
              <c:pt idx="26">
                <c:v>125.15193923136147</c:v>
              </c:pt>
              <c:pt idx="27">
                <c:v>125.45765415867498</c:v>
              </c:pt>
              <c:pt idx="28">
                <c:v>125.75170372397318</c:v>
              </c:pt>
              <c:pt idx="29">
                <c:v>126.03485333654308</c:v>
              </c:pt>
              <c:pt idx="30">
                <c:v>126.30779266989106</c:v>
              </c:pt>
              <c:pt idx="31">
                <c:v>126.57114533540761</c:v>
              </c:pt>
              <c:pt idx="32">
                <c:v>126.82547705919535</c:v>
              </c:pt>
              <c:pt idx="33">
                <c:v>127.07130263167056</c:v>
              </c:pt>
              <c:pt idx="34">
                <c:v>127.30909184453873</c:v>
              </c:pt>
              <c:pt idx="35">
                <c:v>127.53927458720159</c:v>
              </c:pt>
              <c:pt idx="36">
                <c:v>127.76224524148344</c:v>
              </c:pt>
              <c:pt idx="37">
                <c:v>127.97836648750632</c:v>
              </c:pt>
              <c:pt idx="38">
                <c:v>128.18797261292903</c:v>
              </c:pt>
              <c:pt idx="39">
                <c:v>128.3913724013444</c:v>
              </c:pt>
              <c:pt idx="40">
                <c:v>128.58885166246819</c:v>
              </c:pt>
              <c:pt idx="41">
                <c:v>128.7806754561401</c:v>
              </c:pt>
              <c:pt idx="42">
                <c:v>128.967090053552</c:v>
              </c:pt>
              <c:pt idx="43">
                <c:v>129.14832467210195</c:v>
              </c:pt>
              <c:pt idx="44">
                <c:v>129.32459301452229</c:v>
              </c:pt>
              <c:pt idx="45">
                <c:v>129.49609463819698</c:v>
              </c:pt>
              <c:pt idx="46">
                <c:v>129.66301617666508</c:v>
              </c:pt>
              <c:pt idx="47">
                <c:v>129.82553243205433</c:v>
              </c:pt>
              <c:pt idx="48">
                <c:v>129.98380735447188</c:v>
              </c:pt>
              <c:pt idx="49">
                <c:v>130.13799492210569</c:v>
              </c:pt>
            </c:numLit>
          </c:val>
          <c:extLst>
            <c:ext xmlns:c16="http://schemas.microsoft.com/office/drawing/2014/chart" uri="{C3380CC4-5D6E-409C-BE32-E72D297353CC}">
              <c16:uniqueId val="{0000001F-8528-4EC3-BA84-58A13B9AFE50}"/>
            </c:ext>
          </c:extLst>
        </c:ser>
        <c:ser>
          <c:idx val="32"/>
          <c:order val="32"/>
          <c:tx>
            <c:v>336.8</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95.263677206905939</c:v>
              </c:pt>
              <c:pt idx="1">
                <c:v>102.12764020956801</c:v>
              </c:pt>
              <c:pt idx="2">
                <c:v>105.91246019609707</c:v>
              </c:pt>
              <c:pt idx="3">
                <c:v>108.53882140923287</c:v>
              </c:pt>
              <c:pt idx="4">
                <c:v>110.55162785941752</c:v>
              </c:pt>
              <c:pt idx="5">
                <c:v>112.1835337234634</c:v>
              </c:pt>
              <c:pt idx="6">
                <c:v>113.55565618746351</c:v>
              </c:pt>
              <c:pt idx="7">
                <c:v>114.73914134819537</c:v>
              </c:pt>
              <c:pt idx="8">
                <c:v>115.77935905531797</c:v>
              </c:pt>
              <c:pt idx="9">
                <c:v>116.70702339266381</c:v>
              </c:pt>
              <c:pt idx="10">
                <c:v>117.54389579647375</c:v>
              </c:pt>
              <c:pt idx="11">
                <c:v>118.30595837749263</c:v>
              </c:pt>
              <c:pt idx="12">
                <c:v>119.00529498657758</c:v>
              </c:pt>
              <c:pt idx="13">
                <c:v>119.65126422302313</c:v>
              </c:pt>
              <c:pt idx="14">
                <c:v>120.25126193958494</c:v>
              </c:pt>
              <c:pt idx="15">
                <c:v>120.81123441475637</c:v>
              </c:pt>
              <c:pt idx="16">
                <c:v>121.33603405090099</c:v>
              </c:pt>
              <c:pt idx="17">
                <c:v>121.82967224800962</c:v>
              </c:pt>
              <c:pt idx="18">
                <c:v>122.2955031809575</c:v>
              </c:pt>
              <c:pt idx="19">
                <c:v>122.7363599673713</c:v>
              </c:pt>
              <c:pt idx="20">
                <c:v>123.15465730030814</c:v>
              </c:pt>
              <c:pt idx="21">
                <c:v>123.55246999300897</c:v>
              </c:pt>
              <c:pt idx="22">
                <c:v>123.93159391676986</c:v>
              </c:pt>
              <c:pt idx="23">
                <c:v>124.29359386558633</c:v>
              </c:pt>
              <c:pt idx="24">
                <c:v>124.6398415751359</c:v>
              </c:pt>
              <c:pt idx="25">
                <c:v>124.97154623065114</c:v>
              </c:pt>
              <c:pt idx="26">
                <c:v>125.28977917689576</c:v>
              </c:pt>
              <c:pt idx="27">
                <c:v>125.59549410420931</c:v>
              </c:pt>
              <c:pt idx="28">
                <c:v>125.8895436695075</c:v>
              </c:pt>
              <c:pt idx="29">
                <c:v>126.17269328207738</c:v>
              </c:pt>
              <c:pt idx="30">
                <c:v>126.44563261542538</c:v>
              </c:pt>
              <c:pt idx="31">
                <c:v>126.7089852809419</c:v>
              </c:pt>
              <c:pt idx="32">
                <c:v>126.96331700472965</c:v>
              </c:pt>
              <c:pt idx="33">
                <c:v>127.20914257720489</c:v>
              </c:pt>
              <c:pt idx="34">
                <c:v>127.44693179007305</c:v>
              </c:pt>
              <c:pt idx="35">
                <c:v>127.67711453273591</c:v>
              </c:pt>
              <c:pt idx="36">
                <c:v>127.90008518701777</c:v>
              </c:pt>
              <c:pt idx="37">
                <c:v>128.11620643304065</c:v>
              </c:pt>
              <c:pt idx="38">
                <c:v>128.32581255846335</c:v>
              </c:pt>
              <c:pt idx="39">
                <c:v>128.52921234687872</c:v>
              </c:pt>
              <c:pt idx="40">
                <c:v>128.72669160800251</c:v>
              </c:pt>
              <c:pt idx="41">
                <c:v>128.9185154016744</c:v>
              </c:pt>
              <c:pt idx="42">
                <c:v>129.10492999908632</c:v>
              </c:pt>
              <c:pt idx="43">
                <c:v>129.28616461763627</c:v>
              </c:pt>
              <c:pt idx="44">
                <c:v>129.46243296005662</c:v>
              </c:pt>
              <c:pt idx="45">
                <c:v>129.6339345837313</c:v>
              </c:pt>
              <c:pt idx="46">
                <c:v>129.80085612219941</c:v>
              </c:pt>
              <c:pt idx="47">
                <c:v>129.96337237758866</c:v>
              </c:pt>
              <c:pt idx="48">
                <c:v>130.1216473000062</c:v>
              </c:pt>
              <c:pt idx="49">
                <c:v>130.27583486764001</c:v>
              </c:pt>
            </c:numLit>
          </c:val>
          <c:extLst>
            <c:ext xmlns:c16="http://schemas.microsoft.com/office/drawing/2014/chart" uri="{C3380CC4-5D6E-409C-BE32-E72D297353CC}">
              <c16:uniqueId val="{00000020-8528-4EC3-BA84-58A13B9AFE50}"/>
            </c:ext>
          </c:extLst>
        </c:ser>
        <c:ser>
          <c:idx val="33"/>
          <c:order val="33"/>
          <c:tx>
            <c:v>347</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95.397276522736675</c:v>
              </c:pt>
              <c:pt idx="1">
                <c:v>102.26123952539872</c:v>
              </c:pt>
              <c:pt idx="2">
                <c:v>106.04605951192778</c:v>
              </c:pt>
              <c:pt idx="3">
                <c:v>108.67242072506355</c:v>
              </c:pt>
              <c:pt idx="4">
                <c:v>110.6852271752482</c:v>
              </c:pt>
              <c:pt idx="5">
                <c:v>112.31713303929411</c:v>
              </c:pt>
              <c:pt idx="6">
                <c:v>113.68925550329419</c:v>
              </c:pt>
              <c:pt idx="7">
                <c:v>114.87274066402608</c:v>
              </c:pt>
              <c:pt idx="8">
                <c:v>115.91295837114865</c:v>
              </c:pt>
              <c:pt idx="9">
                <c:v>116.84062270849452</c:v>
              </c:pt>
              <c:pt idx="10">
                <c:v>117.67749511230443</c:v>
              </c:pt>
              <c:pt idx="11">
                <c:v>118.43955769332334</c:v>
              </c:pt>
              <c:pt idx="12">
                <c:v>119.13889430240829</c:v>
              </c:pt>
              <c:pt idx="13">
                <c:v>119.78486353885381</c:v>
              </c:pt>
              <c:pt idx="14">
                <c:v>120.38486125541564</c:v>
              </c:pt>
              <c:pt idx="15">
                <c:v>120.94483373058705</c:v>
              </c:pt>
              <c:pt idx="16">
                <c:v>121.46963336673167</c:v>
              </c:pt>
              <c:pt idx="17">
                <c:v>121.96327156384035</c:v>
              </c:pt>
              <c:pt idx="18">
                <c:v>122.42910249678818</c:v>
              </c:pt>
              <c:pt idx="19">
                <c:v>122.86995928320204</c:v>
              </c:pt>
              <c:pt idx="20">
                <c:v>123.28825661613888</c:v>
              </c:pt>
              <c:pt idx="21">
                <c:v>123.68606930883965</c:v>
              </c:pt>
              <c:pt idx="22">
                <c:v>124.06519323260056</c:v>
              </c:pt>
              <c:pt idx="23">
                <c:v>124.42719318141701</c:v>
              </c:pt>
              <c:pt idx="24">
                <c:v>124.77344089096661</c:v>
              </c:pt>
              <c:pt idx="25">
                <c:v>125.10514554648182</c:v>
              </c:pt>
              <c:pt idx="26">
                <c:v>125.4233784927265</c:v>
              </c:pt>
              <c:pt idx="27">
                <c:v>125.72909342004002</c:v>
              </c:pt>
              <c:pt idx="28">
                <c:v>126.02314298533821</c:v>
              </c:pt>
              <c:pt idx="29">
                <c:v>126.30629259790811</c:v>
              </c:pt>
              <c:pt idx="30">
                <c:v>126.57923193125609</c:v>
              </c:pt>
              <c:pt idx="31">
                <c:v>126.84258459677261</c:v>
              </c:pt>
              <c:pt idx="32">
                <c:v>127.09691632056035</c:v>
              </c:pt>
              <c:pt idx="33">
                <c:v>127.34274189303559</c:v>
              </c:pt>
              <c:pt idx="34">
                <c:v>127.58053110590376</c:v>
              </c:pt>
              <c:pt idx="35">
                <c:v>127.81071384856662</c:v>
              </c:pt>
              <c:pt idx="36">
                <c:v>128.03368450284847</c:v>
              </c:pt>
              <c:pt idx="37">
                <c:v>128.24980574887135</c:v>
              </c:pt>
              <c:pt idx="38">
                <c:v>128.45941187429406</c:v>
              </c:pt>
              <c:pt idx="39">
                <c:v>128.66281166270943</c:v>
              </c:pt>
              <c:pt idx="40">
                <c:v>128.86029092383319</c:v>
              </c:pt>
              <c:pt idx="41">
                <c:v>129.05211471750511</c:v>
              </c:pt>
              <c:pt idx="42">
                <c:v>129.23852931491703</c:v>
              </c:pt>
              <c:pt idx="43">
                <c:v>129.41976393346698</c:v>
              </c:pt>
              <c:pt idx="44">
                <c:v>129.59603227588732</c:v>
              </c:pt>
              <c:pt idx="45">
                <c:v>129.76753389956201</c:v>
              </c:pt>
              <c:pt idx="46">
                <c:v>129.93445543803011</c:v>
              </c:pt>
              <c:pt idx="47">
                <c:v>130.09697169341933</c:v>
              </c:pt>
              <c:pt idx="48">
                <c:v>130.25524661583694</c:v>
              </c:pt>
              <c:pt idx="49">
                <c:v>130.40943418347075</c:v>
              </c:pt>
            </c:numLit>
          </c:val>
          <c:extLst>
            <c:ext xmlns:c16="http://schemas.microsoft.com/office/drawing/2014/chart" uri="{C3380CC4-5D6E-409C-BE32-E72D297353CC}">
              <c16:uniqueId val="{00000021-8528-4EC3-BA84-58A13B9AFE50}"/>
            </c:ext>
          </c:extLst>
        </c:ser>
        <c:ser>
          <c:idx val="34"/>
          <c:order val="34"/>
          <c:tx>
            <c:v>357.2</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95.526888364863069</c:v>
              </c:pt>
              <c:pt idx="1">
                <c:v>102.39085136752514</c:v>
              </c:pt>
              <c:pt idx="2">
                <c:v>106.1756713540542</c:v>
              </c:pt>
              <c:pt idx="3">
                <c:v>108.80203256719</c:v>
              </c:pt>
              <c:pt idx="4">
                <c:v>110.81483901737465</c:v>
              </c:pt>
              <c:pt idx="5">
                <c:v>112.44674488142053</c:v>
              </c:pt>
              <c:pt idx="6">
                <c:v>113.81886734542064</c:v>
              </c:pt>
              <c:pt idx="7">
                <c:v>115.00235250615253</c:v>
              </c:pt>
              <c:pt idx="8">
                <c:v>116.0425702132751</c:v>
              </c:pt>
              <c:pt idx="9">
                <c:v>116.97023455062094</c:v>
              </c:pt>
              <c:pt idx="10">
                <c:v>117.80710695443088</c:v>
              </c:pt>
              <c:pt idx="11">
                <c:v>118.56916953544976</c:v>
              </c:pt>
              <c:pt idx="12">
                <c:v>119.26850614453471</c:v>
              </c:pt>
              <c:pt idx="13">
                <c:v>119.91447538098026</c:v>
              </c:pt>
              <c:pt idx="14">
                <c:v>120.51447309754207</c:v>
              </c:pt>
              <c:pt idx="15">
                <c:v>121.0744455727135</c:v>
              </c:pt>
              <c:pt idx="16">
                <c:v>121.59924520885812</c:v>
              </c:pt>
              <c:pt idx="17">
                <c:v>122.09288340596675</c:v>
              </c:pt>
              <c:pt idx="18">
                <c:v>122.55871433891463</c:v>
              </c:pt>
              <c:pt idx="19">
                <c:v>122.99957112532846</c:v>
              </c:pt>
              <c:pt idx="20">
                <c:v>123.41786845826527</c:v>
              </c:pt>
              <c:pt idx="21">
                <c:v>123.8156811509661</c:v>
              </c:pt>
              <c:pt idx="22">
                <c:v>124.19480507472699</c:v>
              </c:pt>
              <c:pt idx="23">
                <c:v>124.55680502354346</c:v>
              </c:pt>
              <c:pt idx="24">
                <c:v>124.90305273309303</c:v>
              </c:pt>
              <c:pt idx="25">
                <c:v>125.23475738860827</c:v>
              </c:pt>
              <c:pt idx="26">
                <c:v>125.55299033485292</c:v>
              </c:pt>
              <c:pt idx="27">
                <c:v>125.85870526216644</c:v>
              </c:pt>
              <c:pt idx="28">
                <c:v>126.15275482746463</c:v>
              </c:pt>
              <c:pt idx="29">
                <c:v>126.43590444003453</c:v>
              </c:pt>
              <c:pt idx="30">
                <c:v>126.70884377338251</c:v>
              </c:pt>
              <c:pt idx="31">
                <c:v>126.97219643889906</c:v>
              </c:pt>
              <c:pt idx="32">
                <c:v>127.2265281626868</c:v>
              </c:pt>
              <c:pt idx="33">
                <c:v>127.47235373516202</c:v>
              </c:pt>
              <c:pt idx="34">
                <c:v>127.71014294803018</c:v>
              </c:pt>
              <c:pt idx="35">
                <c:v>127.94032569069304</c:v>
              </c:pt>
              <c:pt idx="36">
                <c:v>128.1632963449749</c:v>
              </c:pt>
              <c:pt idx="37">
                <c:v>128.37941759099778</c:v>
              </c:pt>
              <c:pt idx="38">
                <c:v>128.58902371642048</c:v>
              </c:pt>
              <c:pt idx="39">
                <c:v>128.79242350483585</c:v>
              </c:pt>
              <c:pt idx="40">
                <c:v>128.98990276595964</c:v>
              </c:pt>
              <c:pt idx="41">
                <c:v>129.18172655963156</c:v>
              </c:pt>
              <c:pt idx="42">
                <c:v>129.36814115704345</c:v>
              </c:pt>
              <c:pt idx="43">
                <c:v>129.5493757755934</c:v>
              </c:pt>
              <c:pt idx="44">
                <c:v>129.72564411801375</c:v>
              </c:pt>
              <c:pt idx="45">
                <c:v>129.89714574168843</c:v>
              </c:pt>
              <c:pt idx="46">
                <c:v>130.06406728015654</c:v>
              </c:pt>
              <c:pt idx="47">
                <c:v>130.22658353554579</c:v>
              </c:pt>
              <c:pt idx="48">
                <c:v>130.38485845796333</c:v>
              </c:pt>
              <c:pt idx="49">
                <c:v>130.53904602559714</c:v>
              </c:pt>
            </c:numLit>
          </c:val>
          <c:extLst>
            <c:ext xmlns:c16="http://schemas.microsoft.com/office/drawing/2014/chart" uri="{C3380CC4-5D6E-409C-BE32-E72D297353CC}">
              <c16:uniqueId val="{00000022-8528-4EC3-BA84-58A13B9AFE50}"/>
            </c:ext>
          </c:extLst>
        </c:ser>
        <c:ser>
          <c:idx val="35"/>
          <c:order val="35"/>
          <c:tx>
            <c:v>367.4</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95.652743875523626</c:v>
              </c:pt>
              <c:pt idx="1">
                <c:v>102.51670687818569</c:v>
              </c:pt>
              <c:pt idx="2">
                <c:v>106.30152686471476</c:v>
              </c:pt>
              <c:pt idx="3">
                <c:v>108.92788807785053</c:v>
              </c:pt>
              <c:pt idx="4">
                <c:v>110.94069452803518</c:v>
              </c:pt>
              <c:pt idx="5">
                <c:v>112.57260039208106</c:v>
              </c:pt>
              <c:pt idx="6">
                <c:v>113.94472285608117</c:v>
              </c:pt>
              <c:pt idx="7">
                <c:v>115.12820801681306</c:v>
              </c:pt>
              <c:pt idx="8">
                <c:v>116.16842572393563</c:v>
              </c:pt>
              <c:pt idx="9">
                <c:v>117.09609006128147</c:v>
              </c:pt>
              <c:pt idx="10">
                <c:v>117.93296246509141</c:v>
              </c:pt>
              <c:pt idx="11">
                <c:v>118.69502504611029</c:v>
              </c:pt>
              <c:pt idx="12">
                <c:v>119.39436165519527</c:v>
              </c:pt>
              <c:pt idx="13">
                <c:v>120.04033089164079</c:v>
              </c:pt>
              <c:pt idx="14">
                <c:v>120.64032860820259</c:v>
              </c:pt>
              <c:pt idx="15">
                <c:v>121.20030108337403</c:v>
              </c:pt>
              <c:pt idx="16">
                <c:v>121.72510071951865</c:v>
              </c:pt>
              <c:pt idx="17">
                <c:v>122.2187389166273</c:v>
              </c:pt>
              <c:pt idx="18">
                <c:v>122.68456984957515</c:v>
              </c:pt>
              <c:pt idx="19">
                <c:v>123.12542663598899</c:v>
              </c:pt>
              <c:pt idx="20">
                <c:v>123.5437239689258</c:v>
              </c:pt>
              <c:pt idx="21">
                <c:v>123.94153666162663</c:v>
              </c:pt>
              <c:pt idx="22">
                <c:v>124.32066058538754</c:v>
              </c:pt>
              <c:pt idx="23">
                <c:v>124.68266053420399</c:v>
              </c:pt>
              <c:pt idx="24">
                <c:v>125.02890824375356</c:v>
              </c:pt>
              <c:pt idx="25">
                <c:v>125.3606128992688</c:v>
              </c:pt>
              <c:pt idx="26">
                <c:v>125.67884584551345</c:v>
              </c:pt>
              <c:pt idx="27">
                <c:v>125.98456077282697</c:v>
              </c:pt>
              <c:pt idx="28">
                <c:v>126.27861033812516</c:v>
              </c:pt>
              <c:pt idx="29">
                <c:v>126.56175995069506</c:v>
              </c:pt>
              <c:pt idx="30">
                <c:v>126.83469928404304</c:v>
              </c:pt>
              <c:pt idx="31">
                <c:v>127.09805194955959</c:v>
              </c:pt>
              <c:pt idx="32">
                <c:v>127.35238367334733</c:v>
              </c:pt>
              <c:pt idx="33">
                <c:v>127.59820924582255</c:v>
              </c:pt>
              <c:pt idx="34">
                <c:v>127.83599845869071</c:v>
              </c:pt>
              <c:pt idx="35">
                <c:v>128.0661812013536</c:v>
              </c:pt>
              <c:pt idx="36">
                <c:v>128.28915185563542</c:v>
              </c:pt>
              <c:pt idx="37">
                <c:v>128.5052731016583</c:v>
              </c:pt>
              <c:pt idx="38">
                <c:v>128.71487922708104</c:v>
              </c:pt>
              <c:pt idx="39">
                <c:v>128.91827901549641</c:v>
              </c:pt>
              <c:pt idx="40">
                <c:v>129.11575827662017</c:v>
              </c:pt>
              <c:pt idx="41">
                <c:v>129.30758207029209</c:v>
              </c:pt>
              <c:pt idx="42">
                <c:v>129.49399666770398</c:v>
              </c:pt>
              <c:pt idx="43">
                <c:v>129.67523128625393</c:v>
              </c:pt>
              <c:pt idx="44">
                <c:v>129.85149962867428</c:v>
              </c:pt>
              <c:pt idx="45">
                <c:v>130.02300125234899</c:v>
              </c:pt>
              <c:pt idx="46">
                <c:v>130.18992279081706</c:v>
              </c:pt>
              <c:pt idx="47">
                <c:v>130.35243904620631</c:v>
              </c:pt>
              <c:pt idx="48">
                <c:v>130.51071396862389</c:v>
              </c:pt>
              <c:pt idx="49">
                <c:v>130.6649015362577</c:v>
              </c:pt>
            </c:numLit>
          </c:val>
          <c:extLst>
            <c:ext xmlns:c16="http://schemas.microsoft.com/office/drawing/2014/chart" uri="{C3380CC4-5D6E-409C-BE32-E72D297353CC}">
              <c16:uniqueId val="{00000023-8528-4EC3-BA84-58A13B9AFE50}"/>
            </c:ext>
          </c:extLst>
        </c:ser>
        <c:ser>
          <c:idx val="36"/>
          <c:order val="36"/>
          <c:tx>
            <c:v>377.6</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95.775054663804738</c:v>
              </c:pt>
              <c:pt idx="1">
                <c:v>102.63901766646681</c:v>
              </c:pt>
              <c:pt idx="2">
                <c:v>106.42383765299587</c:v>
              </c:pt>
              <c:pt idx="3">
                <c:v>109.05019886613167</c:v>
              </c:pt>
              <c:pt idx="4">
                <c:v>111.06300531631632</c:v>
              </c:pt>
              <c:pt idx="5">
                <c:v>112.6949111803622</c:v>
              </c:pt>
              <c:pt idx="6">
                <c:v>114.06703364436231</c:v>
              </c:pt>
              <c:pt idx="7">
                <c:v>115.2505188050942</c:v>
              </c:pt>
              <c:pt idx="8">
                <c:v>116.29073651221677</c:v>
              </c:pt>
              <c:pt idx="9">
                <c:v>117.21840084956261</c:v>
              </c:pt>
              <c:pt idx="10">
                <c:v>118.05527325337255</c:v>
              </c:pt>
              <c:pt idx="11">
                <c:v>118.81733583439143</c:v>
              </c:pt>
              <c:pt idx="12">
                <c:v>119.51667244347638</c:v>
              </c:pt>
              <c:pt idx="13">
                <c:v>120.16264167992193</c:v>
              </c:pt>
              <c:pt idx="14">
                <c:v>120.76263939648373</c:v>
              </c:pt>
              <c:pt idx="15">
                <c:v>121.32261187165517</c:v>
              </c:pt>
              <c:pt idx="16">
                <c:v>121.84741150779979</c:v>
              </c:pt>
              <c:pt idx="17">
                <c:v>122.34104970490841</c:v>
              </c:pt>
              <c:pt idx="18">
                <c:v>122.8068806378563</c:v>
              </c:pt>
              <c:pt idx="19">
                <c:v>123.24773742427013</c:v>
              </c:pt>
              <c:pt idx="20">
                <c:v>123.66603475720694</c:v>
              </c:pt>
              <c:pt idx="21">
                <c:v>124.06384744990777</c:v>
              </c:pt>
              <c:pt idx="22">
                <c:v>124.44297137366866</c:v>
              </c:pt>
              <c:pt idx="23">
                <c:v>124.80497132248513</c:v>
              </c:pt>
              <c:pt idx="24">
                <c:v>125.1512190320347</c:v>
              </c:pt>
              <c:pt idx="25">
                <c:v>125.48292368754994</c:v>
              </c:pt>
              <c:pt idx="26">
                <c:v>125.80115663379459</c:v>
              </c:pt>
              <c:pt idx="27">
                <c:v>126.10687156110811</c:v>
              </c:pt>
              <c:pt idx="28">
                <c:v>126.4009211264063</c:v>
              </c:pt>
              <c:pt idx="29">
                <c:v>126.6840707389762</c:v>
              </c:pt>
              <c:pt idx="30">
                <c:v>126.95701007232418</c:v>
              </c:pt>
              <c:pt idx="31">
                <c:v>127.22036273784073</c:v>
              </c:pt>
              <c:pt idx="32">
                <c:v>127.47469446162847</c:v>
              </c:pt>
              <c:pt idx="33">
                <c:v>127.72052003410369</c:v>
              </c:pt>
              <c:pt idx="34">
                <c:v>127.95830924697185</c:v>
              </c:pt>
              <c:pt idx="35">
                <c:v>128.18849198963471</c:v>
              </c:pt>
              <c:pt idx="36">
                <c:v>128.41146264391656</c:v>
              </c:pt>
              <c:pt idx="37">
                <c:v>128.62758388993944</c:v>
              </c:pt>
              <c:pt idx="38">
                <c:v>128.83719001536215</c:v>
              </c:pt>
              <c:pt idx="39">
                <c:v>129.04058980377752</c:v>
              </c:pt>
              <c:pt idx="40">
                <c:v>129.23806906490131</c:v>
              </c:pt>
              <c:pt idx="41">
                <c:v>129.42989285857323</c:v>
              </c:pt>
              <c:pt idx="42">
                <c:v>129.61630745598512</c:v>
              </c:pt>
              <c:pt idx="43">
                <c:v>129.79754207453507</c:v>
              </c:pt>
              <c:pt idx="44">
                <c:v>129.97381041695542</c:v>
              </c:pt>
              <c:pt idx="45">
                <c:v>130.1453120406301</c:v>
              </c:pt>
              <c:pt idx="46">
                <c:v>130.3122335790982</c:v>
              </c:pt>
              <c:pt idx="47">
                <c:v>130.47474983448745</c:v>
              </c:pt>
              <c:pt idx="48">
                <c:v>130.633024756905</c:v>
              </c:pt>
              <c:pt idx="49">
                <c:v>130.78721232453881</c:v>
              </c:pt>
            </c:numLit>
          </c:val>
          <c:extLst>
            <c:ext xmlns:c16="http://schemas.microsoft.com/office/drawing/2014/chart" uri="{C3380CC4-5D6E-409C-BE32-E72D297353CC}">
              <c16:uniqueId val="{00000024-8528-4EC3-BA84-58A13B9AFE50}"/>
            </c:ext>
          </c:extLst>
        </c:ser>
        <c:ser>
          <c:idx val="37"/>
          <c:order val="37"/>
          <c:tx>
            <c:v>387.8</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95.894014946394819</c:v>
              </c:pt>
              <c:pt idx="1">
                <c:v>102.75797794905688</c:v>
              </c:pt>
              <c:pt idx="2">
                <c:v>106.54279793558595</c:v>
              </c:pt>
              <c:pt idx="3">
                <c:v>109.16915914872172</c:v>
              </c:pt>
              <c:pt idx="4">
                <c:v>111.18196559890637</c:v>
              </c:pt>
              <c:pt idx="5">
                <c:v>112.81387146295225</c:v>
              </c:pt>
              <c:pt idx="6">
                <c:v>114.18599392695236</c:v>
              </c:pt>
              <c:pt idx="7">
                <c:v>115.36947908768423</c:v>
              </c:pt>
              <c:pt idx="8">
                <c:v>116.40969679480682</c:v>
              </c:pt>
              <c:pt idx="9">
                <c:v>117.33736113215269</c:v>
              </c:pt>
              <c:pt idx="10">
                <c:v>118.17423353596257</c:v>
              </c:pt>
              <c:pt idx="11">
                <c:v>118.93629611698151</c:v>
              </c:pt>
              <c:pt idx="12">
                <c:v>119.63563272606643</c:v>
              </c:pt>
              <c:pt idx="13">
                <c:v>120.28160196251198</c:v>
              </c:pt>
              <c:pt idx="14">
                <c:v>120.88159967907382</c:v>
              </c:pt>
              <c:pt idx="15">
                <c:v>121.44157215424522</c:v>
              </c:pt>
              <c:pt idx="16">
                <c:v>121.96637179038981</c:v>
              </c:pt>
              <c:pt idx="17">
                <c:v>122.46000998749849</c:v>
              </c:pt>
              <c:pt idx="18">
                <c:v>122.92584092044635</c:v>
              </c:pt>
              <c:pt idx="19">
                <c:v>123.36669770686018</c:v>
              </c:pt>
              <c:pt idx="20">
                <c:v>123.78499503979702</c:v>
              </c:pt>
              <c:pt idx="21">
                <c:v>124.18280773249782</c:v>
              </c:pt>
              <c:pt idx="22">
                <c:v>124.56193165625871</c:v>
              </c:pt>
              <c:pt idx="23">
                <c:v>124.92393160507518</c:v>
              </c:pt>
              <c:pt idx="24">
                <c:v>125.27017931462478</c:v>
              </c:pt>
              <c:pt idx="25">
                <c:v>125.60188397013999</c:v>
              </c:pt>
              <c:pt idx="26">
                <c:v>125.92011691638464</c:v>
              </c:pt>
              <c:pt idx="27">
                <c:v>126.22583184369819</c:v>
              </c:pt>
              <c:pt idx="28">
                <c:v>126.51988140899635</c:v>
              </c:pt>
              <c:pt idx="29">
                <c:v>126.80303102156626</c:v>
              </c:pt>
              <c:pt idx="30">
                <c:v>127.07597035491426</c:v>
              </c:pt>
              <c:pt idx="31">
                <c:v>127.33932302043075</c:v>
              </c:pt>
              <c:pt idx="32">
                <c:v>127.5936547442185</c:v>
              </c:pt>
              <c:pt idx="33">
                <c:v>127.83948031669377</c:v>
              </c:pt>
              <c:pt idx="34">
                <c:v>128.07726952956193</c:v>
              </c:pt>
              <c:pt idx="35">
                <c:v>128.30745227222477</c:v>
              </c:pt>
              <c:pt idx="36">
                <c:v>128.53042292650662</c:v>
              </c:pt>
              <c:pt idx="37">
                <c:v>128.74654417252952</c:v>
              </c:pt>
              <c:pt idx="38">
                <c:v>128.95615029795221</c:v>
              </c:pt>
              <c:pt idx="39">
                <c:v>129.15955008636757</c:v>
              </c:pt>
              <c:pt idx="40">
                <c:v>129.35702934749136</c:v>
              </c:pt>
              <c:pt idx="41">
                <c:v>129.54885314116325</c:v>
              </c:pt>
              <c:pt idx="42">
                <c:v>129.7352677385752</c:v>
              </c:pt>
              <c:pt idx="43">
                <c:v>129.91650235712513</c:v>
              </c:pt>
              <c:pt idx="44">
                <c:v>130.0927706995455</c:v>
              </c:pt>
              <c:pt idx="45">
                <c:v>130.26427232322015</c:v>
              </c:pt>
              <c:pt idx="46">
                <c:v>130.43119386168826</c:v>
              </c:pt>
              <c:pt idx="47">
                <c:v>130.59371011707751</c:v>
              </c:pt>
              <c:pt idx="48">
                <c:v>130.75198503949508</c:v>
              </c:pt>
              <c:pt idx="49">
                <c:v>130.90617260712889</c:v>
              </c:pt>
            </c:numLit>
          </c:val>
          <c:extLst>
            <c:ext xmlns:c16="http://schemas.microsoft.com/office/drawing/2014/chart" uri="{C3380CC4-5D6E-409C-BE32-E72D297353CC}">
              <c16:uniqueId val="{00000025-8528-4EC3-BA84-58A13B9AFE50}"/>
            </c:ext>
          </c:extLst>
        </c:ser>
        <c:ser>
          <c:idx val="38"/>
          <c:order val="38"/>
          <c:tx>
            <c:v>398</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96.00980340286948</c:v>
              </c:pt>
              <c:pt idx="1">
                <c:v>102.87376640553155</c:v>
              </c:pt>
              <c:pt idx="2">
                <c:v>106.65858639206061</c:v>
              </c:pt>
              <c:pt idx="3">
                <c:v>109.28494760519641</c:v>
              </c:pt>
              <c:pt idx="4">
                <c:v>111.29775405538106</c:v>
              </c:pt>
              <c:pt idx="5">
                <c:v>112.92965991942691</c:v>
              </c:pt>
              <c:pt idx="6">
                <c:v>114.30178238342705</c:v>
              </c:pt>
              <c:pt idx="7">
                <c:v>115.48526754415889</c:v>
              </c:pt>
              <c:pt idx="8">
                <c:v>116.52548525128151</c:v>
              </c:pt>
              <c:pt idx="9">
                <c:v>117.45314958862735</c:v>
              </c:pt>
              <c:pt idx="10">
                <c:v>118.29002199243726</c:v>
              </c:pt>
              <c:pt idx="11">
                <c:v>119.05208457345617</c:v>
              </c:pt>
              <c:pt idx="12">
                <c:v>119.75142118254112</c:v>
              </c:pt>
              <c:pt idx="13">
                <c:v>120.39739041898667</c:v>
              </c:pt>
              <c:pt idx="14">
                <c:v>120.99738813554848</c:v>
              </c:pt>
              <c:pt idx="15">
                <c:v>121.55736061071991</c:v>
              </c:pt>
              <c:pt idx="16">
                <c:v>122.0821602468645</c:v>
              </c:pt>
              <c:pt idx="17">
                <c:v>122.57579844397316</c:v>
              </c:pt>
              <c:pt idx="18">
                <c:v>123.04162937692104</c:v>
              </c:pt>
              <c:pt idx="19">
                <c:v>123.48248616333484</c:v>
              </c:pt>
              <c:pt idx="20">
                <c:v>123.90078349627169</c:v>
              </c:pt>
              <c:pt idx="21">
                <c:v>124.29859618897251</c:v>
              </c:pt>
              <c:pt idx="22">
                <c:v>124.6777201127334</c:v>
              </c:pt>
              <c:pt idx="23">
                <c:v>125.03972006154987</c:v>
              </c:pt>
              <c:pt idx="24">
                <c:v>125.38596777109944</c:v>
              </c:pt>
              <c:pt idx="25">
                <c:v>125.71767242661468</c:v>
              </c:pt>
              <c:pt idx="26">
                <c:v>126.0359053728593</c:v>
              </c:pt>
              <c:pt idx="27">
                <c:v>126.34162030017285</c:v>
              </c:pt>
              <c:pt idx="28">
                <c:v>126.63566986547102</c:v>
              </c:pt>
              <c:pt idx="29">
                <c:v>126.91881947804092</c:v>
              </c:pt>
              <c:pt idx="30">
                <c:v>127.19175881138892</c:v>
              </c:pt>
              <c:pt idx="31">
                <c:v>127.45511147690542</c:v>
              </c:pt>
              <c:pt idx="32">
                <c:v>127.70944320069316</c:v>
              </c:pt>
              <c:pt idx="33">
                <c:v>127.95526877316843</c:v>
              </c:pt>
              <c:pt idx="34">
                <c:v>128.19305798603659</c:v>
              </c:pt>
              <c:pt idx="35">
                <c:v>128.42324072869945</c:v>
              </c:pt>
              <c:pt idx="36">
                <c:v>128.64621138298128</c:v>
              </c:pt>
              <c:pt idx="37">
                <c:v>128.86233262900419</c:v>
              </c:pt>
              <c:pt idx="38">
                <c:v>129.07193875442687</c:v>
              </c:pt>
              <c:pt idx="39">
                <c:v>129.27533854284226</c:v>
              </c:pt>
              <c:pt idx="40">
                <c:v>129.47281780396605</c:v>
              </c:pt>
              <c:pt idx="41">
                <c:v>129.66464159763791</c:v>
              </c:pt>
              <c:pt idx="42">
                <c:v>129.85105619504986</c:v>
              </c:pt>
              <c:pt idx="43">
                <c:v>130.03229081359979</c:v>
              </c:pt>
              <c:pt idx="44">
                <c:v>130.20855915602016</c:v>
              </c:pt>
              <c:pt idx="45">
                <c:v>130.38006077969484</c:v>
              </c:pt>
              <c:pt idx="46">
                <c:v>130.54698231816292</c:v>
              </c:pt>
              <c:pt idx="47">
                <c:v>130.7094985735522</c:v>
              </c:pt>
              <c:pt idx="48">
                <c:v>130.86777349596974</c:v>
              </c:pt>
              <c:pt idx="49">
                <c:v>131.02196106360356</c:v>
              </c:pt>
            </c:numLit>
          </c:val>
          <c:extLst>
            <c:ext xmlns:c16="http://schemas.microsoft.com/office/drawing/2014/chart" uri="{C3380CC4-5D6E-409C-BE32-E72D297353CC}">
              <c16:uniqueId val="{00000026-8528-4EC3-BA84-58A13B9AFE50}"/>
            </c:ext>
          </c:extLst>
        </c:ser>
        <c:ser>
          <c:idx val="39"/>
          <c:order val="39"/>
          <c:tx>
            <c:v>408.2</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96.12258479000549</c:v>
              </c:pt>
              <c:pt idx="1">
                <c:v>102.98654779266757</c:v>
              </c:pt>
              <c:pt idx="2">
                <c:v>106.77136777919662</c:v>
              </c:pt>
              <c:pt idx="3">
                <c:v>109.39772899233242</c:v>
              </c:pt>
              <c:pt idx="4">
                <c:v>111.41053544251707</c:v>
              </c:pt>
              <c:pt idx="5">
                <c:v>113.04244130656292</c:v>
              </c:pt>
              <c:pt idx="6">
                <c:v>114.41456377056306</c:v>
              </c:pt>
              <c:pt idx="7">
                <c:v>115.5980489312949</c:v>
              </c:pt>
              <c:pt idx="8">
                <c:v>116.63826663841752</c:v>
              </c:pt>
              <c:pt idx="9">
                <c:v>117.56593097576337</c:v>
              </c:pt>
              <c:pt idx="10">
                <c:v>118.40280337957327</c:v>
              </c:pt>
              <c:pt idx="11">
                <c:v>119.16486596059218</c:v>
              </c:pt>
              <c:pt idx="12">
                <c:v>119.86420256967713</c:v>
              </c:pt>
              <c:pt idx="13">
                <c:v>120.51017180612268</c:v>
              </c:pt>
              <c:pt idx="14">
                <c:v>121.11016952268449</c:v>
              </c:pt>
              <c:pt idx="15">
                <c:v>121.67014199785592</c:v>
              </c:pt>
              <c:pt idx="16">
                <c:v>122.19494163400051</c:v>
              </c:pt>
              <c:pt idx="17">
                <c:v>122.68857983110917</c:v>
              </c:pt>
              <c:pt idx="18">
                <c:v>123.15441076405705</c:v>
              </c:pt>
              <c:pt idx="19">
                <c:v>123.59526755047085</c:v>
              </c:pt>
              <c:pt idx="20">
                <c:v>124.0135648834077</c:v>
              </c:pt>
              <c:pt idx="21">
                <c:v>124.41137757610852</c:v>
              </c:pt>
              <c:pt idx="22">
                <c:v>124.79050149986941</c:v>
              </c:pt>
              <c:pt idx="23">
                <c:v>125.15250144868588</c:v>
              </c:pt>
              <c:pt idx="24">
                <c:v>125.49874915823546</c:v>
              </c:pt>
              <c:pt idx="25">
                <c:v>125.83045381375069</c:v>
              </c:pt>
              <c:pt idx="26">
                <c:v>126.14868675999531</c:v>
              </c:pt>
              <c:pt idx="27">
                <c:v>126.45440168730886</c:v>
              </c:pt>
              <c:pt idx="28">
                <c:v>126.74845125260703</c:v>
              </c:pt>
              <c:pt idx="29">
                <c:v>127.03160086517693</c:v>
              </c:pt>
              <c:pt idx="30">
                <c:v>127.30454019852493</c:v>
              </c:pt>
              <c:pt idx="31">
                <c:v>127.56789286404143</c:v>
              </c:pt>
              <c:pt idx="32">
                <c:v>127.82222458782917</c:v>
              </c:pt>
              <c:pt idx="33">
                <c:v>128.06805016030444</c:v>
              </c:pt>
              <c:pt idx="34">
                <c:v>128.3058393731726</c:v>
              </c:pt>
              <c:pt idx="35">
                <c:v>128.53602211583546</c:v>
              </c:pt>
              <c:pt idx="36">
                <c:v>128.75899277011729</c:v>
              </c:pt>
              <c:pt idx="37">
                <c:v>128.9751140161402</c:v>
              </c:pt>
              <c:pt idx="38">
                <c:v>129.18472014156288</c:v>
              </c:pt>
              <c:pt idx="39">
                <c:v>129.38811992997827</c:v>
              </c:pt>
              <c:pt idx="40">
                <c:v>129.58559919110206</c:v>
              </c:pt>
              <c:pt idx="41">
                <c:v>129.77742298477392</c:v>
              </c:pt>
              <c:pt idx="42">
                <c:v>129.96383758218587</c:v>
              </c:pt>
              <c:pt idx="43">
                <c:v>130.1450722007358</c:v>
              </c:pt>
              <c:pt idx="44">
                <c:v>130.32134054315617</c:v>
              </c:pt>
              <c:pt idx="45">
                <c:v>130.49284216683085</c:v>
              </c:pt>
              <c:pt idx="46">
                <c:v>130.65976370529893</c:v>
              </c:pt>
              <c:pt idx="47">
                <c:v>130.82227996068821</c:v>
              </c:pt>
              <c:pt idx="48">
                <c:v>130.98055488310575</c:v>
              </c:pt>
              <c:pt idx="49">
                <c:v>131.13474245073957</c:v>
              </c:pt>
            </c:numLit>
          </c:val>
          <c:extLst>
            <c:ext xmlns:c16="http://schemas.microsoft.com/office/drawing/2014/chart" uri="{C3380CC4-5D6E-409C-BE32-E72D297353CC}">
              <c16:uniqueId val="{00000027-8528-4EC3-BA84-58A13B9AFE50}"/>
            </c:ext>
          </c:extLst>
        </c:ser>
        <c:ser>
          <c:idx val="40"/>
          <c:order val="40"/>
          <c:tx>
            <c:v>418.4</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96.232511351731389</c:v>
              </c:pt>
              <c:pt idx="1">
                <c:v>103.09647435439346</c:v>
              </c:pt>
              <c:pt idx="2">
                <c:v>106.88129434092252</c:v>
              </c:pt>
              <c:pt idx="3">
                <c:v>109.50765555405832</c:v>
              </c:pt>
              <c:pt idx="4">
                <c:v>111.52046200424297</c:v>
              </c:pt>
              <c:pt idx="5">
                <c:v>113.15236786828885</c:v>
              </c:pt>
              <c:pt idx="6">
                <c:v>114.52449033228896</c:v>
              </c:pt>
              <c:pt idx="7">
                <c:v>115.70797549302085</c:v>
              </c:pt>
              <c:pt idx="8">
                <c:v>116.74819320014342</c:v>
              </c:pt>
              <c:pt idx="9">
                <c:v>117.67585753748926</c:v>
              </c:pt>
              <c:pt idx="10">
                <c:v>118.5127299412992</c:v>
              </c:pt>
              <c:pt idx="11">
                <c:v>119.27479252231808</c:v>
              </c:pt>
              <c:pt idx="12">
                <c:v>119.97412913140303</c:v>
              </c:pt>
              <c:pt idx="13">
                <c:v>120.62009836784858</c:v>
              </c:pt>
              <c:pt idx="14">
                <c:v>121.22009608441039</c:v>
              </c:pt>
              <c:pt idx="15">
                <c:v>121.78006855958182</c:v>
              </c:pt>
              <c:pt idx="16">
                <c:v>122.30486819572644</c:v>
              </c:pt>
              <c:pt idx="17">
                <c:v>122.79850639283507</c:v>
              </c:pt>
              <c:pt idx="18">
                <c:v>123.26433732578295</c:v>
              </c:pt>
              <c:pt idx="19">
                <c:v>123.70519411219678</c:v>
              </c:pt>
              <c:pt idx="20">
                <c:v>124.1234914451336</c:v>
              </c:pt>
              <c:pt idx="21">
                <c:v>124.52130413783442</c:v>
              </c:pt>
              <c:pt idx="22">
                <c:v>124.90042806159531</c:v>
              </c:pt>
              <c:pt idx="23">
                <c:v>125.26242801041178</c:v>
              </c:pt>
              <c:pt idx="24">
                <c:v>125.60867571996135</c:v>
              </c:pt>
              <c:pt idx="25">
                <c:v>125.94038037547659</c:v>
              </c:pt>
              <c:pt idx="26">
                <c:v>126.25861332172124</c:v>
              </c:pt>
              <c:pt idx="27">
                <c:v>126.56432824903476</c:v>
              </c:pt>
              <c:pt idx="28">
                <c:v>126.85837781433295</c:v>
              </c:pt>
              <c:pt idx="29">
                <c:v>127.14152742690285</c:v>
              </c:pt>
              <c:pt idx="30">
                <c:v>127.41446676025083</c:v>
              </c:pt>
              <c:pt idx="31">
                <c:v>127.67781942576738</c:v>
              </c:pt>
              <c:pt idx="32">
                <c:v>127.93215114955512</c:v>
              </c:pt>
              <c:pt idx="33">
                <c:v>128.17797672203034</c:v>
              </c:pt>
              <c:pt idx="34">
                <c:v>128.4157659348985</c:v>
              </c:pt>
              <c:pt idx="35">
                <c:v>128.64594867756136</c:v>
              </c:pt>
              <c:pt idx="36">
                <c:v>128.86891933184322</c:v>
              </c:pt>
              <c:pt idx="37">
                <c:v>129.0850405778661</c:v>
              </c:pt>
              <c:pt idx="38">
                <c:v>129.29464670328881</c:v>
              </c:pt>
              <c:pt idx="39">
                <c:v>129.49804649170417</c:v>
              </c:pt>
              <c:pt idx="40">
                <c:v>129.69552575282796</c:v>
              </c:pt>
              <c:pt idx="41">
                <c:v>129.88734954649988</c:v>
              </c:pt>
              <c:pt idx="42">
                <c:v>130.07376414391177</c:v>
              </c:pt>
              <c:pt idx="43">
                <c:v>130.25499876246172</c:v>
              </c:pt>
              <c:pt idx="44">
                <c:v>130.43126710488207</c:v>
              </c:pt>
              <c:pt idx="45">
                <c:v>130.60276872855675</c:v>
              </c:pt>
              <c:pt idx="46">
                <c:v>130.76969026702486</c:v>
              </c:pt>
              <c:pt idx="47">
                <c:v>130.93220652241411</c:v>
              </c:pt>
              <c:pt idx="48">
                <c:v>131.09048144483165</c:v>
              </c:pt>
              <c:pt idx="49">
                <c:v>131.24466901246547</c:v>
              </c:pt>
            </c:numLit>
          </c:val>
          <c:extLst>
            <c:ext xmlns:c16="http://schemas.microsoft.com/office/drawing/2014/chart" uri="{C3380CC4-5D6E-409C-BE32-E72D297353CC}">
              <c16:uniqueId val="{00000028-8528-4EC3-BA84-58A13B9AFE50}"/>
            </c:ext>
          </c:extLst>
        </c:ser>
        <c:ser>
          <c:idx val="41"/>
          <c:order val="41"/>
          <c:tx>
            <c:v>428.6</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96.339724054995955</c:v>
              </c:pt>
              <c:pt idx="1">
                <c:v>103.20368705765802</c:v>
              </c:pt>
              <c:pt idx="2">
                <c:v>106.98850704418709</c:v>
              </c:pt>
              <c:pt idx="3">
                <c:v>109.61486825732285</c:v>
              </c:pt>
              <c:pt idx="4">
                <c:v>111.62767470750751</c:v>
              </c:pt>
              <c:pt idx="5">
                <c:v>113.25958057155339</c:v>
              </c:pt>
              <c:pt idx="6">
                <c:v>114.6317030355535</c:v>
              </c:pt>
              <c:pt idx="7">
                <c:v>115.81518819628536</c:v>
              </c:pt>
              <c:pt idx="8">
                <c:v>116.85540590340796</c:v>
              </c:pt>
              <c:pt idx="9">
                <c:v>117.78307024075383</c:v>
              </c:pt>
              <c:pt idx="10">
                <c:v>118.61994264456371</c:v>
              </c:pt>
              <c:pt idx="11">
                <c:v>119.38200522558265</c:v>
              </c:pt>
              <c:pt idx="12">
                <c:v>120.08134183466757</c:v>
              </c:pt>
              <c:pt idx="13">
                <c:v>120.72731107111312</c:v>
              </c:pt>
              <c:pt idx="14">
                <c:v>121.32730878767495</c:v>
              </c:pt>
              <c:pt idx="15">
                <c:v>121.88728126284636</c:v>
              </c:pt>
              <c:pt idx="16">
                <c:v>122.41208089899095</c:v>
              </c:pt>
              <c:pt idx="17">
                <c:v>122.90571909609963</c:v>
              </c:pt>
              <c:pt idx="18">
                <c:v>123.37155002904748</c:v>
              </c:pt>
              <c:pt idx="19">
                <c:v>123.81240681546132</c:v>
              </c:pt>
              <c:pt idx="20">
                <c:v>124.23070414839816</c:v>
              </c:pt>
              <c:pt idx="21">
                <c:v>124.62851684109896</c:v>
              </c:pt>
              <c:pt idx="22">
                <c:v>125.00764076485984</c:v>
              </c:pt>
              <c:pt idx="23">
                <c:v>125.36964071367632</c:v>
              </c:pt>
              <c:pt idx="24">
                <c:v>125.71588842322592</c:v>
              </c:pt>
              <c:pt idx="25">
                <c:v>126.04759307874113</c:v>
              </c:pt>
              <c:pt idx="26">
                <c:v>126.36582602498578</c:v>
              </c:pt>
              <c:pt idx="27">
                <c:v>126.67154095229932</c:v>
              </c:pt>
              <c:pt idx="28">
                <c:v>126.96559051759749</c:v>
              </c:pt>
              <c:pt idx="29">
                <c:v>127.24874013016739</c:v>
              </c:pt>
              <c:pt idx="30">
                <c:v>127.5216794635154</c:v>
              </c:pt>
              <c:pt idx="31">
                <c:v>127.78503212903189</c:v>
              </c:pt>
              <c:pt idx="32">
                <c:v>128.03936385281963</c:v>
              </c:pt>
              <c:pt idx="33">
                <c:v>128.2851894252949</c:v>
              </c:pt>
              <c:pt idx="34">
                <c:v>128.52297863816307</c:v>
              </c:pt>
              <c:pt idx="35">
                <c:v>128.7531613808259</c:v>
              </c:pt>
              <c:pt idx="36">
                <c:v>128.97613203510775</c:v>
              </c:pt>
              <c:pt idx="37">
                <c:v>129.19225328113066</c:v>
              </c:pt>
              <c:pt idx="38">
                <c:v>129.40185940655334</c:v>
              </c:pt>
              <c:pt idx="39">
                <c:v>129.60525919496871</c:v>
              </c:pt>
              <c:pt idx="40">
                <c:v>129.8027384560925</c:v>
              </c:pt>
              <c:pt idx="41">
                <c:v>129.99456224976439</c:v>
              </c:pt>
              <c:pt idx="42">
                <c:v>130.18097684717634</c:v>
              </c:pt>
              <c:pt idx="43">
                <c:v>130.36221146572626</c:v>
              </c:pt>
              <c:pt idx="44">
                <c:v>130.53847980814663</c:v>
              </c:pt>
              <c:pt idx="45">
                <c:v>130.70998143182129</c:v>
              </c:pt>
              <c:pt idx="46">
                <c:v>130.87690297028939</c:v>
              </c:pt>
              <c:pt idx="47">
                <c:v>131.03941922567864</c:v>
              </c:pt>
              <c:pt idx="48">
                <c:v>131.19769414809622</c:v>
              </c:pt>
              <c:pt idx="49">
                <c:v>131.35188171573003</c:v>
              </c:pt>
            </c:numLit>
          </c:val>
          <c:extLst>
            <c:ext xmlns:c16="http://schemas.microsoft.com/office/drawing/2014/chart" uri="{C3380CC4-5D6E-409C-BE32-E72D297353CC}">
              <c16:uniqueId val="{00000029-8528-4EC3-BA84-58A13B9AFE50}"/>
            </c:ext>
          </c:extLst>
        </c:ser>
        <c:ser>
          <c:idx val="42"/>
          <c:order val="42"/>
          <c:tx>
            <c:v>438.8</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96.44435367672564</c:v>
              </c:pt>
              <c:pt idx="1">
                <c:v>103.3083166793877</c:v>
              </c:pt>
              <c:pt idx="2">
                <c:v>107.09313666591677</c:v>
              </c:pt>
              <c:pt idx="3">
                <c:v>109.71949787905254</c:v>
              </c:pt>
              <c:pt idx="4">
                <c:v>111.73230432923719</c:v>
              </c:pt>
              <c:pt idx="5">
                <c:v>113.36421019328307</c:v>
              </c:pt>
              <c:pt idx="6">
                <c:v>114.73633265728319</c:v>
              </c:pt>
              <c:pt idx="7">
                <c:v>115.91981781801508</c:v>
              </c:pt>
              <c:pt idx="8">
                <c:v>116.96003552513764</c:v>
              </c:pt>
              <c:pt idx="9">
                <c:v>117.88769986248349</c:v>
              </c:pt>
              <c:pt idx="10">
                <c:v>118.72457226629342</c:v>
              </c:pt>
              <c:pt idx="11">
                <c:v>119.4866348473123</c:v>
              </c:pt>
              <c:pt idx="12">
                <c:v>120.18597145639728</c:v>
              </c:pt>
              <c:pt idx="13">
                <c:v>120.83194069284281</c:v>
              </c:pt>
              <c:pt idx="14">
                <c:v>121.43193840940461</c:v>
              </c:pt>
              <c:pt idx="15">
                <c:v>121.99191088457604</c:v>
              </c:pt>
              <c:pt idx="16">
                <c:v>122.51671052072066</c:v>
              </c:pt>
              <c:pt idx="17">
                <c:v>123.01034871782932</c:v>
              </c:pt>
              <c:pt idx="18">
                <c:v>123.47617965077717</c:v>
              </c:pt>
              <c:pt idx="19">
                <c:v>123.917036437191</c:v>
              </c:pt>
              <c:pt idx="20">
                <c:v>124.33533377012782</c:v>
              </c:pt>
              <c:pt idx="21">
                <c:v>124.73314646282864</c:v>
              </c:pt>
              <c:pt idx="22">
                <c:v>125.11227038658956</c:v>
              </c:pt>
              <c:pt idx="23">
                <c:v>125.474270335406</c:v>
              </c:pt>
              <c:pt idx="24">
                <c:v>125.82051804495558</c:v>
              </c:pt>
              <c:pt idx="25">
                <c:v>126.15222270047082</c:v>
              </c:pt>
              <c:pt idx="26">
                <c:v>126.47045564671546</c:v>
              </c:pt>
              <c:pt idx="27">
                <c:v>126.77617057402898</c:v>
              </c:pt>
              <c:pt idx="28">
                <c:v>127.07022013932718</c:v>
              </c:pt>
              <c:pt idx="29">
                <c:v>127.35336975189708</c:v>
              </c:pt>
              <c:pt idx="30">
                <c:v>127.62630908524505</c:v>
              </c:pt>
              <c:pt idx="31">
                <c:v>127.8896617507616</c:v>
              </c:pt>
              <c:pt idx="32">
                <c:v>128.14399347454935</c:v>
              </c:pt>
              <c:pt idx="33">
                <c:v>128.38981904702456</c:v>
              </c:pt>
              <c:pt idx="34">
                <c:v>128.62760825989272</c:v>
              </c:pt>
              <c:pt idx="35">
                <c:v>128.85779100255562</c:v>
              </c:pt>
              <c:pt idx="36">
                <c:v>129.08076165683744</c:v>
              </c:pt>
              <c:pt idx="37">
                <c:v>129.29688290286032</c:v>
              </c:pt>
              <c:pt idx="38">
                <c:v>129.50648902828306</c:v>
              </c:pt>
              <c:pt idx="39">
                <c:v>129.70988881669842</c:v>
              </c:pt>
              <c:pt idx="40">
                <c:v>129.90736807782218</c:v>
              </c:pt>
              <c:pt idx="41">
                <c:v>130.0991918714941</c:v>
              </c:pt>
              <c:pt idx="42">
                <c:v>130.285606468906</c:v>
              </c:pt>
              <c:pt idx="43">
                <c:v>130.46684108745595</c:v>
              </c:pt>
              <c:pt idx="44">
                <c:v>130.64310942987629</c:v>
              </c:pt>
              <c:pt idx="45">
                <c:v>130.814611053551</c:v>
              </c:pt>
              <c:pt idx="46">
                <c:v>130.98153259201908</c:v>
              </c:pt>
              <c:pt idx="47">
                <c:v>131.14404884740833</c:v>
              </c:pt>
              <c:pt idx="48">
                <c:v>131.3023237698259</c:v>
              </c:pt>
              <c:pt idx="49">
                <c:v>131.45651133745972</c:v>
              </c:pt>
            </c:numLit>
          </c:val>
          <c:extLst>
            <c:ext xmlns:c16="http://schemas.microsoft.com/office/drawing/2014/chart" uri="{C3380CC4-5D6E-409C-BE32-E72D297353CC}">
              <c16:uniqueId val="{0000002A-8528-4EC3-BA84-58A13B9AFE50}"/>
            </c:ext>
          </c:extLst>
        </c:ser>
        <c:ser>
          <c:idx val="43"/>
          <c:order val="43"/>
          <c:tx>
            <c:v>449</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96.54652176289683</c:v>
              </c:pt>
              <c:pt idx="1">
                <c:v>103.41048476555891</c:v>
              </c:pt>
              <c:pt idx="2">
                <c:v>107.19530475208796</c:v>
              </c:pt>
              <c:pt idx="3">
                <c:v>109.82166596522376</c:v>
              </c:pt>
              <c:pt idx="4">
                <c:v>111.83447241540841</c:v>
              </c:pt>
              <c:pt idx="5">
                <c:v>113.46637827945429</c:v>
              </c:pt>
              <c:pt idx="6">
                <c:v>114.8385007434544</c:v>
              </c:pt>
              <c:pt idx="7">
                <c:v>116.02198590418629</c:v>
              </c:pt>
              <c:pt idx="8">
                <c:v>117.06220361130886</c:v>
              </c:pt>
              <c:pt idx="9">
                <c:v>117.98986794865471</c:v>
              </c:pt>
              <c:pt idx="10">
                <c:v>118.82674035246464</c:v>
              </c:pt>
              <c:pt idx="11">
                <c:v>119.58880293348352</c:v>
              </c:pt>
              <c:pt idx="12">
                <c:v>120.28813954256847</c:v>
              </c:pt>
              <c:pt idx="13">
                <c:v>120.93410877901403</c:v>
              </c:pt>
              <c:pt idx="14">
                <c:v>121.53410649557583</c:v>
              </c:pt>
              <c:pt idx="15">
                <c:v>122.09407897074726</c:v>
              </c:pt>
              <c:pt idx="16">
                <c:v>122.61887860689188</c:v>
              </c:pt>
              <c:pt idx="17">
                <c:v>123.11251680400051</c:v>
              </c:pt>
              <c:pt idx="18">
                <c:v>123.57834773694839</c:v>
              </c:pt>
              <c:pt idx="19">
                <c:v>124.01920452336222</c:v>
              </c:pt>
              <c:pt idx="20">
                <c:v>124.43750185629904</c:v>
              </c:pt>
              <c:pt idx="21">
                <c:v>124.83531454899986</c:v>
              </c:pt>
              <c:pt idx="22">
                <c:v>125.21443847276075</c:v>
              </c:pt>
              <c:pt idx="23">
                <c:v>125.57643842157722</c:v>
              </c:pt>
              <c:pt idx="24">
                <c:v>125.9226861311268</c:v>
              </c:pt>
              <c:pt idx="25">
                <c:v>126.25439078664203</c:v>
              </c:pt>
              <c:pt idx="26">
                <c:v>126.57262373288668</c:v>
              </c:pt>
              <c:pt idx="27">
                <c:v>126.8783386602002</c:v>
              </c:pt>
              <c:pt idx="28">
                <c:v>127.17238822549839</c:v>
              </c:pt>
              <c:pt idx="29">
                <c:v>127.4555378380683</c:v>
              </c:pt>
              <c:pt idx="30">
                <c:v>127.72847717141627</c:v>
              </c:pt>
              <c:pt idx="31">
                <c:v>127.99182983693282</c:v>
              </c:pt>
              <c:pt idx="32">
                <c:v>128.24616156072057</c:v>
              </c:pt>
              <c:pt idx="33">
                <c:v>128.49198713319578</c:v>
              </c:pt>
              <c:pt idx="34">
                <c:v>128.72977634606394</c:v>
              </c:pt>
              <c:pt idx="35">
                <c:v>128.95995908872681</c:v>
              </c:pt>
              <c:pt idx="36">
                <c:v>129.18292974300866</c:v>
              </c:pt>
              <c:pt idx="37">
                <c:v>129.39905098903154</c:v>
              </c:pt>
              <c:pt idx="38">
                <c:v>129.60865711445425</c:v>
              </c:pt>
              <c:pt idx="39">
                <c:v>129.81205690286961</c:v>
              </c:pt>
              <c:pt idx="40">
                <c:v>130.0095361639934</c:v>
              </c:pt>
              <c:pt idx="41">
                <c:v>130.20135995766532</c:v>
              </c:pt>
              <c:pt idx="42">
                <c:v>130.38777455507721</c:v>
              </c:pt>
              <c:pt idx="43">
                <c:v>130.56900917362717</c:v>
              </c:pt>
              <c:pt idx="44">
                <c:v>130.74527751604751</c:v>
              </c:pt>
              <c:pt idx="45">
                <c:v>130.91677913972219</c:v>
              </c:pt>
              <c:pt idx="46">
                <c:v>131.0837006781903</c:v>
              </c:pt>
              <c:pt idx="47">
                <c:v>131.24621693357955</c:v>
              </c:pt>
              <c:pt idx="48">
                <c:v>131.40449185599709</c:v>
              </c:pt>
              <c:pt idx="49">
                <c:v>131.55867942363091</c:v>
              </c:pt>
            </c:numLit>
          </c:val>
          <c:extLst>
            <c:ext xmlns:c16="http://schemas.microsoft.com/office/drawing/2014/chart" uri="{C3380CC4-5D6E-409C-BE32-E72D297353CC}">
              <c16:uniqueId val="{0000002B-8528-4EC3-BA84-58A13B9AFE50}"/>
            </c:ext>
          </c:extLst>
        </c:ser>
        <c:ser>
          <c:idx val="44"/>
          <c:order val="44"/>
          <c:tx>
            <c:v>459.2</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96.646341477363634</c:v>
              </c:pt>
              <c:pt idx="1">
                <c:v>103.5103044800257</c:v>
              </c:pt>
              <c:pt idx="2">
                <c:v>107.29512446655474</c:v>
              </c:pt>
              <c:pt idx="3">
                <c:v>109.92148567969053</c:v>
              </c:pt>
              <c:pt idx="4">
                <c:v>111.93429212987519</c:v>
              </c:pt>
              <c:pt idx="5">
                <c:v>113.56619799392107</c:v>
              </c:pt>
              <c:pt idx="6">
                <c:v>114.93832045792118</c:v>
              </c:pt>
              <c:pt idx="7">
                <c:v>116.12180561865307</c:v>
              </c:pt>
              <c:pt idx="8">
                <c:v>117.16202332577564</c:v>
              </c:pt>
              <c:pt idx="9">
                <c:v>118.08968766312148</c:v>
              </c:pt>
              <c:pt idx="10">
                <c:v>118.92656006693142</c:v>
              </c:pt>
              <c:pt idx="11">
                <c:v>119.6886226479503</c:v>
              </c:pt>
              <c:pt idx="12">
                <c:v>120.38795925703528</c:v>
              </c:pt>
              <c:pt idx="13">
                <c:v>121.0339284934808</c:v>
              </c:pt>
              <c:pt idx="14">
                <c:v>121.6339262100426</c:v>
              </c:pt>
              <c:pt idx="15">
                <c:v>122.19389868521404</c:v>
              </c:pt>
              <c:pt idx="16">
                <c:v>122.71869832135866</c:v>
              </c:pt>
              <c:pt idx="17">
                <c:v>123.21233651846731</c:v>
              </c:pt>
              <c:pt idx="18">
                <c:v>123.67816745141516</c:v>
              </c:pt>
              <c:pt idx="19">
                <c:v>124.119024237829</c:v>
              </c:pt>
              <c:pt idx="20">
                <c:v>124.53732157076581</c:v>
              </c:pt>
              <c:pt idx="21">
                <c:v>124.93513426346664</c:v>
              </c:pt>
              <c:pt idx="22">
                <c:v>125.31425818722755</c:v>
              </c:pt>
              <c:pt idx="23">
                <c:v>125.676258136044</c:v>
              </c:pt>
              <c:pt idx="24">
                <c:v>126.02250584559357</c:v>
              </c:pt>
              <c:pt idx="25">
                <c:v>126.35421050110881</c:v>
              </c:pt>
              <c:pt idx="26">
                <c:v>126.67244344735346</c:v>
              </c:pt>
              <c:pt idx="27">
                <c:v>126.97815837466698</c:v>
              </c:pt>
              <c:pt idx="28">
                <c:v>127.27220793996517</c:v>
              </c:pt>
              <c:pt idx="29">
                <c:v>127.55535755253507</c:v>
              </c:pt>
              <c:pt idx="30">
                <c:v>127.82829688588305</c:v>
              </c:pt>
              <c:pt idx="31">
                <c:v>128.0916495513996</c:v>
              </c:pt>
              <c:pt idx="32">
                <c:v>128.34598127518734</c:v>
              </c:pt>
              <c:pt idx="33">
                <c:v>128.59180684766255</c:v>
              </c:pt>
              <c:pt idx="34">
                <c:v>128.82959606053072</c:v>
              </c:pt>
              <c:pt idx="35">
                <c:v>129.05977880319358</c:v>
              </c:pt>
              <c:pt idx="36">
                <c:v>129.28274945747543</c:v>
              </c:pt>
              <c:pt idx="37">
                <c:v>129.49887070349831</c:v>
              </c:pt>
              <c:pt idx="38">
                <c:v>129.70847682892102</c:v>
              </c:pt>
              <c:pt idx="39">
                <c:v>129.91187661733642</c:v>
              </c:pt>
              <c:pt idx="40">
                <c:v>130.10935587846018</c:v>
              </c:pt>
              <c:pt idx="41">
                <c:v>130.30117967213209</c:v>
              </c:pt>
              <c:pt idx="42">
                <c:v>130.48759426954399</c:v>
              </c:pt>
              <c:pt idx="43">
                <c:v>130.66882888809394</c:v>
              </c:pt>
              <c:pt idx="44">
                <c:v>130.84509723051428</c:v>
              </c:pt>
              <c:pt idx="45">
                <c:v>131.016598854189</c:v>
              </c:pt>
              <c:pt idx="46">
                <c:v>131.18352039265707</c:v>
              </c:pt>
              <c:pt idx="47">
                <c:v>131.34603664804632</c:v>
              </c:pt>
              <c:pt idx="48">
                <c:v>131.5043115704639</c:v>
              </c:pt>
              <c:pt idx="49">
                <c:v>131.65849913809771</c:v>
              </c:pt>
            </c:numLit>
          </c:val>
          <c:extLst>
            <c:ext xmlns:c16="http://schemas.microsoft.com/office/drawing/2014/chart" uri="{C3380CC4-5D6E-409C-BE32-E72D297353CC}">
              <c16:uniqueId val="{0000002C-8528-4EC3-BA84-58A13B9AFE50}"/>
            </c:ext>
          </c:extLst>
        </c:ser>
        <c:ser>
          <c:idx val="45"/>
          <c:order val="45"/>
          <c:tx>
            <c:v>469.4</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96.743918355307088</c:v>
              </c:pt>
              <c:pt idx="1">
                <c:v>103.60788135796913</c:v>
              </c:pt>
              <c:pt idx="2">
                <c:v>107.39270134449819</c:v>
              </c:pt>
              <c:pt idx="3">
                <c:v>110.01906255763396</c:v>
              </c:pt>
              <c:pt idx="4">
                <c:v>112.03186900781861</c:v>
              </c:pt>
              <c:pt idx="5">
                <c:v>113.66377487186452</c:v>
              </c:pt>
              <c:pt idx="6">
                <c:v>115.0358973358646</c:v>
              </c:pt>
              <c:pt idx="7">
                <c:v>116.2193824965965</c:v>
              </c:pt>
              <c:pt idx="8">
                <c:v>117.25960020371906</c:v>
              </c:pt>
              <c:pt idx="9">
                <c:v>118.18726454106493</c:v>
              </c:pt>
              <c:pt idx="10">
                <c:v>119.02413694487484</c:v>
              </c:pt>
              <c:pt idx="11">
                <c:v>119.78619952589375</c:v>
              </c:pt>
              <c:pt idx="12">
                <c:v>120.4855361349787</c:v>
              </c:pt>
              <c:pt idx="13">
                <c:v>121.13150537142423</c:v>
              </c:pt>
              <c:pt idx="14">
                <c:v>121.73150308798606</c:v>
              </c:pt>
              <c:pt idx="15">
                <c:v>122.29147556315746</c:v>
              </c:pt>
              <c:pt idx="16">
                <c:v>122.81627519930208</c:v>
              </c:pt>
              <c:pt idx="17">
                <c:v>123.30991339641076</c:v>
              </c:pt>
              <c:pt idx="18">
                <c:v>123.77574432935859</c:v>
              </c:pt>
              <c:pt idx="19">
                <c:v>124.21660111577245</c:v>
              </c:pt>
              <c:pt idx="20">
                <c:v>124.63489844870929</c:v>
              </c:pt>
              <c:pt idx="21">
                <c:v>125.03271114141006</c:v>
              </c:pt>
              <c:pt idx="22">
                <c:v>125.41183506517098</c:v>
              </c:pt>
              <c:pt idx="23">
                <c:v>125.77383501398742</c:v>
              </c:pt>
              <c:pt idx="24">
                <c:v>126.12008272353702</c:v>
              </c:pt>
              <c:pt idx="25">
                <c:v>126.45178737905223</c:v>
              </c:pt>
              <c:pt idx="26">
                <c:v>126.77002032529691</c:v>
              </c:pt>
              <c:pt idx="27">
                <c:v>127.07573525261043</c:v>
              </c:pt>
              <c:pt idx="28">
                <c:v>127.36978481790862</c:v>
              </c:pt>
              <c:pt idx="29">
                <c:v>127.65293443047852</c:v>
              </c:pt>
              <c:pt idx="30">
                <c:v>127.9258737638265</c:v>
              </c:pt>
              <c:pt idx="31">
                <c:v>128.18922642934302</c:v>
              </c:pt>
              <c:pt idx="32">
                <c:v>128.44355815313077</c:v>
              </c:pt>
              <c:pt idx="33">
                <c:v>128.68938372560601</c:v>
              </c:pt>
              <c:pt idx="34">
                <c:v>128.92717293847417</c:v>
              </c:pt>
              <c:pt idx="35">
                <c:v>129.15735568113703</c:v>
              </c:pt>
              <c:pt idx="36">
                <c:v>129.38032633541889</c:v>
              </c:pt>
              <c:pt idx="37">
                <c:v>129.59644758144177</c:v>
              </c:pt>
              <c:pt idx="38">
                <c:v>129.80605370686447</c:v>
              </c:pt>
              <c:pt idx="39">
                <c:v>130.00945349527984</c:v>
              </c:pt>
              <c:pt idx="40">
                <c:v>130.2069327564036</c:v>
              </c:pt>
              <c:pt idx="41">
                <c:v>130.39875655007552</c:v>
              </c:pt>
              <c:pt idx="42">
                <c:v>130.58517114748744</c:v>
              </c:pt>
              <c:pt idx="43">
                <c:v>130.76640576603739</c:v>
              </c:pt>
              <c:pt idx="44">
                <c:v>130.94267410845774</c:v>
              </c:pt>
              <c:pt idx="45">
                <c:v>131.11417573213242</c:v>
              </c:pt>
              <c:pt idx="46">
                <c:v>131.28109727060053</c:v>
              </c:pt>
              <c:pt idx="47">
                <c:v>131.44361352598975</c:v>
              </c:pt>
              <c:pt idx="48">
                <c:v>131.60188844840735</c:v>
              </c:pt>
              <c:pt idx="49">
                <c:v>131.75607601604116</c:v>
              </c:pt>
            </c:numLit>
          </c:val>
          <c:extLst>
            <c:ext xmlns:c16="http://schemas.microsoft.com/office/drawing/2014/chart" uri="{C3380CC4-5D6E-409C-BE32-E72D297353CC}">
              <c16:uniqueId val="{0000002D-8528-4EC3-BA84-58A13B9AFE50}"/>
            </c:ext>
          </c:extLst>
        </c:ser>
        <c:ser>
          <c:idx val="46"/>
          <c:order val="46"/>
          <c:tx>
            <c:v>479.6</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96.839350973884663</c:v>
              </c:pt>
              <c:pt idx="1">
                <c:v>103.70331397654674</c:v>
              </c:pt>
              <c:pt idx="2">
                <c:v>107.4881339630758</c:v>
              </c:pt>
              <c:pt idx="3">
                <c:v>110.11449517621156</c:v>
              </c:pt>
              <c:pt idx="4">
                <c:v>112.12730162639622</c:v>
              </c:pt>
              <c:pt idx="5">
                <c:v>113.75920749044212</c:v>
              </c:pt>
              <c:pt idx="6">
                <c:v>115.13132995444221</c:v>
              </c:pt>
              <c:pt idx="7">
                <c:v>116.3148151151741</c:v>
              </c:pt>
              <c:pt idx="8">
                <c:v>117.35503282229666</c:v>
              </c:pt>
              <c:pt idx="9">
                <c:v>118.28269715964254</c:v>
              </c:pt>
              <c:pt idx="10">
                <c:v>119.11956956345244</c:v>
              </c:pt>
              <c:pt idx="11">
                <c:v>119.88163214447135</c:v>
              </c:pt>
              <c:pt idx="12">
                <c:v>120.58096875355631</c:v>
              </c:pt>
              <c:pt idx="13">
                <c:v>121.22693799000183</c:v>
              </c:pt>
              <c:pt idx="14">
                <c:v>121.82693570656363</c:v>
              </c:pt>
              <c:pt idx="15">
                <c:v>122.38690818173507</c:v>
              </c:pt>
              <c:pt idx="16">
                <c:v>122.91170781787969</c:v>
              </c:pt>
              <c:pt idx="17">
                <c:v>123.40534601498837</c:v>
              </c:pt>
              <c:pt idx="18">
                <c:v>123.87117694793619</c:v>
              </c:pt>
              <c:pt idx="19">
                <c:v>124.31203373435002</c:v>
              </c:pt>
              <c:pt idx="20">
                <c:v>124.73033106728687</c:v>
              </c:pt>
              <c:pt idx="21">
                <c:v>125.12814375998767</c:v>
              </c:pt>
              <c:pt idx="22">
                <c:v>125.50726768374858</c:v>
              </c:pt>
              <c:pt idx="23">
                <c:v>125.86926763256503</c:v>
              </c:pt>
              <c:pt idx="24">
                <c:v>126.2155153421146</c:v>
              </c:pt>
              <c:pt idx="25">
                <c:v>126.54721999762984</c:v>
              </c:pt>
              <c:pt idx="26">
                <c:v>126.86545294387449</c:v>
              </c:pt>
              <c:pt idx="27">
                <c:v>127.17116787118803</c:v>
              </c:pt>
              <c:pt idx="28">
                <c:v>127.46521743648623</c:v>
              </c:pt>
              <c:pt idx="29">
                <c:v>127.7483670490561</c:v>
              </c:pt>
              <c:pt idx="30">
                <c:v>128.02130638240408</c:v>
              </c:pt>
              <c:pt idx="31">
                <c:v>128.28465904792063</c:v>
              </c:pt>
              <c:pt idx="32">
                <c:v>128.53899077170837</c:v>
              </c:pt>
              <c:pt idx="33">
                <c:v>128.78481634418361</c:v>
              </c:pt>
              <c:pt idx="34">
                <c:v>129.02260555705175</c:v>
              </c:pt>
              <c:pt idx="35">
                <c:v>129.25278829971464</c:v>
              </c:pt>
              <c:pt idx="36">
                <c:v>129.47575895399649</c:v>
              </c:pt>
              <c:pt idx="37">
                <c:v>129.69188020001937</c:v>
              </c:pt>
              <c:pt idx="38">
                <c:v>129.90148632544208</c:v>
              </c:pt>
              <c:pt idx="39">
                <c:v>130.10488611385745</c:v>
              </c:pt>
              <c:pt idx="40">
                <c:v>130.30236537498121</c:v>
              </c:pt>
              <c:pt idx="41">
                <c:v>130.49418916865312</c:v>
              </c:pt>
              <c:pt idx="42">
                <c:v>130.68060376606502</c:v>
              </c:pt>
              <c:pt idx="43">
                <c:v>130.861838384615</c:v>
              </c:pt>
              <c:pt idx="44">
                <c:v>131.03810672703534</c:v>
              </c:pt>
              <c:pt idx="45">
                <c:v>131.20960835071003</c:v>
              </c:pt>
              <c:pt idx="46">
                <c:v>131.37652988917813</c:v>
              </c:pt>
              <c:pt idx="47">
                <c:v>131.53904614456735</c:v>
              </c:pt>
              <c:pt idx="48">
                <c:v>131.69732106698495</c:v>
              </c:pt>
              <c:pt idx="49">
                <c:v>131.85150863461877</c:v>
              </c:pt>
            </c:numLit>
          </c:val>
          <c:extLst>
            <c:ext xmlns:c16="http://schemas.microsoft.com/office/drawing/2014/chart" uri="{C3380CC4-5D6E-409C-BE32-E72D297353CC}">
              <c16:uniqueId val="{0000002E-8528-4EC3-BA84-58A13B9AFE50}"/>
            </c:ext>
          </c:extLst>
        </c:ser>
        <c:ser>
          <c:idx val="47"/>
          <c:order val="47"/>
          <c:tx>
            <c:v>489.8</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96.932731550764416</c:v>
              </c:pt>
              <c:pt idx="1">
                <c:v>103.79669455342649</c:v>
              </c:pt>
              <c:pt idx="2">
                <c:v>107.58151453995555</c:v>
              </c:pt>
              <c:pt idx="3">
                <c:v>110.20787575309134</c:v>
              </c:pt>
              <c:pt idx="4">
                <c:v>112.220682203276</c:v>
              </c:pt>
              <c:pt idx="5">
                <c:v>113.85258806732185</c:v>
              </c:pt>
              <c:pt idx="6">
                <c:v>115.22471053132199</c:v>
              </c:pt>
              <c:pt idx="7">
                <c:v>116.40819569205382</c:v>
              </c:pt>
              <c:pt idx="8">
                <c:v>117.44841339917645</c:v>
              </c:pt>
              <c:pt idx="9">
                <c:v>118.37607773652229</c:v>
              </c:pt>
              <c:pt idx="10">
                <c:v>119.2129501403322</c:v>
              </c:pt>
              <c:pt idx="11">
                <c:v>119.97501272135111</c:v>
              </c:pt>
              <c:pt idx="12">
                <c:v>120.67434933043606</c:v>
              </c:pt>
              <c:pt idx="13">
                <c:v>121.32031856688161</c:v>
              </c:pt>
              <c:pt idx="14">
                <c:v>121.92031628344341</c:v>
              </c:pt>
              <c:pt idx="15">
                <c:v>122.48028875861485</c:v>
              </c:pt>
              <c:pt idx="16">
                <c:v>123.00508839475944</c:v>
              </c:pt>
              <c:pt idx="17">
                <c:v>123.49872659186809</c:v>
              </c:pt>
              <c:pt idx="18">
                <c:v>123.96455752481597</c:v>
              </c:pt>
              <c:pt idx="19">
                <c:v>124.40541431122978</c:v>
              </c:pt>
              <c:pt idx="20">
                <c:v>124.82371164416662</c:v>
              </c:pt>
              <c:pt idx="21">
                <c:v>125.22152433686745</c:v>
              </c:pt>
              <c:pt idx="22">
                <c:v>125.60064826062833</c:v>
              </c:pt>
              <c:pt idx="23">
                <c:v>125.96264820944481</c:v>
              </c:pt>
              <c:pt idx="24">
                <c:v>126.30889591899438</c:v>
              </c:pt>
              <c:pt idx="25">
                <c:v>126.64060057450962</c:v>
              </c:pt>
              <c:pt idx="26">
                <c:v>126.95883352075424</c:v>
              </c:pt>
              <c:pt idx="27">
                <c:v>127.26454844806779</c:v>
              </c:pt>
              <c:pt idx="28">
                <c:v>127.55859801336595</c:v>
              </c:pt>
              <c:pt idx="29">
                <c:v>127.84174762593585</c:v>
              </c:pt>
              <c:pt idx="30">
                <c:v>128.11468695928386</c:v>
              </c:pt>
              <c:pt idx="31">
                <c:v>128.37803962480035</c:v>
              </c:pt>
              <c:pt idx="32">
                <c:v>128.63237134858809</c:v>
              </c:pt>
              <c:pt idx="33">
                <c:v>128.87819692106336</c:v>
              </c:pt>
              <c:pt idx="34">
                <c:v>129.11598613393153</c:v>
              </c:pt>
              <c:pt idx="35">
                <c:v>129.34616887659439</c:v>
              </c:pt>
              <c:pt idx="36">
                <c:v>129.56913953087621</c:v>
              </c:pt>
              <c:pt idx="37">
                <c:v>129.78526077689912</c:v>
              </c:pt>
              <c:pt idx="38">
                <c:v>129.9948669023218</c:v>
              </c:pt>
              <c:pt idx="39">
                <c:v>130.1982666907372</c:v>
              </c:pt>
              <c:pt idx="40">
                <c:v>130.39574595186099</c:v>
              </c:pt>
              <c:pt idx="41">
                <c:v>130.58756974553285</c:v>
              </c:pt>
              <c:pt idx="42">
                <c:v>130.7739843429448</c:v>
              </c:pt>
              <c:pt idx="43">
                <c:v>130.95521896149472</c:v>
              </c:pt>
              <c:pt idx="44">
                <c:v>131.13148730391509</c:v>
              </c:pt>
              <c:pt idx="45">
                <c:v>131.30298892758978</c:v>
              </c:pt>
              <c:pt idx="46">
                <c:v>131.46991046605785</c:v>
              </c:pt>
              <c:pt idx="47">
                <c:v>131.63242672144713</c:v>
              </c:pt>
              <c:pt idx="48">
                <c:v>131.79070164386468</c:v>
              </c:pt>
              <c:pt idx="49">
                <c:v>131.94488921149849</c:v>
              </c:pt>
            </c:numLit>
          </c:val>
          <c:extLst>
            <c:ext xmlns:c16="http://schemas.microsoft.com/office/drawing/2014/chart" uri="{C3380CC4-5D6E-409C-BE32-E72D297353CC}">
              <c16:uniqueId val="{0000002F-8528-4EC3-BA84-58A13B9AFE50}"/>
            </c:ext>
          </c:extLst>
        </c:ser>
        <c:ser>
          <c:idx val="48"/>
          <c:order val="48"/>
          <c:tx>
            <c:v>500</c:v>
          </c:tx>
          <c:cat>
            <c:numLit>
              <c:formatCode>General</c:formatCode>
              <c:ptCount val="50"/>
              <c:pt idx="0">
                <c:v>0.1</c:v>
              </c:pt>
              <c:pt idx="1">
                <c:v>0.2</c:v>
              </c:pt>
              <c:pt idx="2">
                <c:v>0.3</c:v>
              </c:pt>
              <c:pt idx="3">
                <c:v>0.5</c:v>
              </c:pt>
              <c:pt idx="4">
                <c:v>0.6</c:v>
              </c:pt>
              <c:pt idx="5">
                <c:v>0.7</c:v>
              </c:pt>
              <c:pt idx="6">
                <c:v>0.8</c:v>
              </c:pt>
              <c:pt idx="7">
                <c:v>0.9</c:v>
              </c:pt>
              <c:pt idx="8">
                <c:v>1.1000000000000001</c:v>
              </c:pt>
              <c:pt idx="9">
                <c:v>1.2</c:v>
              </c:pt>
              <c:pt idx="10">
                <c:v>1.3</c:v>
              </c:pt>
              <c:pt idx="11">
                <c:v>1.4</c:v>
              </c:pt>
              <c:pt idx="12">
                <c:v>1.5</c:v>
              </c:pt>
              <c:pt idx="13">
                <c:v>1.7</c:v>
              </c:pt>
              <c:pt idx="14">
                <c:v>1.8</c:v>
              </c:pt>
              <c:pt idx="15">
                <c:v>1.9</c:v>
              </c:pt>
              <c:pt idx="16">
                <c:v>2</c:v>
              </c:pt>
              <c:pt idx="17">
                <c:v>2.1</c:v>
              </c:pt>
              <c:pt idx="18">
                <c:v>2.2999999999999998</c:v>
              </c:pt>
              <c:pt idx="19">
                <c:v>2.4</c:v>
              </c:pt>
              <c:pt idx="20">
                <c:v>2.5</c:v>
              </c:pt>
              <c:pt idx="21">
                <c:v>2.6</c:v>
              </c:pt>
              <c:pt idx="22">
                <c:v>2.7</c:v>
              </c:pt>
              <c:pt idx="23">
                <c:v>2.9</c:v>
              </c:pt>
              <c:pt idx="24">
                <c:v>3</c:v>
              </c:pt>
              <c:pt idx="25">
                <c:v>3.1</c:v>
              </c:pt>
              <c:pt idx="26">
                <c:v>3.2</c:v>
              </c:pt>
              <c:pt idx="27">
                <c:v>3.4</c:v>
              </c:pt>
              <c:pt idx="28">
                <c:v>3.5</c:v>
              </c:pt>
              <c:pt idx="29">
                <c:v>3.6</c:v>
              </c:pt>
              <c:pt idx="30">
                <c:v>3.7</c:v>
              </c:pt>
              <c:pt idx="31">
                <c:v>3.8</c:v>
              </c:pt>
              <c:pt idx="32">
                <c:v>4</c:v>
              </c:pt>
              <c:pt idx="33">
                <c:v>4.0999999999999996</c:v>
              </c:pt>
              <c:pt idx="34">
                <c:v>4.2</c:v>
              </c:pt>
              <c:pt idx="35">
                <c:v>4.3</c:v>
              </c:pt>
              <c:pt idx="36">
                <c:v>4.4000000000000004</c:v>
              </c:pt>
              <c:pt idx="37">
                <c:v>4.5999999999999996</c:v>
              </c:pt>
              <c:pt idx="38">
                <c:v>4.7</c:v>
              </c:pt>
              <c:pt idx="39">
                <c:v>4.8</c:v>
              </c:pt>
              <c:pt idx="40">
                <c:v>4.9000000000000004</c:v>
              </c:pt>
              <c:pt idx="41">
                <c:v>5</c:v>
              </c:pt>
              <c:pt idx="42">
                <c:v>5.2</c:v>
              </c:pt>
              <c:pt idx="43">
                <c:v>5.3</c:v>
              </c:pt>
              <c:pt idx="44">
                <c:v>5.4</c:v>
              </c:pt>
              <c:pt idx="45">
                <c:v>5.5</c:v>
              </c:pt>
              <c:pt idx="46">
                <c:v>5.6</c:v>
              </c:pt>
              <c:pt idx="47">
                <c:v>5.8</c:v>
              </c:pt>
              <c:pt idx="48">
                <c:v>5.9</c:v>
              </c:pt>
              <c:pt idx="49">
                <c:v>6</c:v>
              </c:pt>
            </c:numLit>
          </c:cat>
          <c:val>
            <c:numLit>
              <c:formatCode>General</c:formatCode>
              <c:ptCount val="50"/>
              <c:pt idx="0">
                <c:v>97.024146479653623</c:v>
              </c:pt>
              <c:pt idx="1">
                <c:v>103.88810948231567</c:v>
              </c:pt>
              <c:pt idx="2">
                <c:v>107.67292946884476</c:v>
              </c:pt>
              <c:pt idx="3">
                <c:v>110.29929068198049</c:v>
              </c:pt>
              <c:pt idx="4">
                <c:v>112.31209713216515</c:v>
              </c:pt>
              <c:pt idx="5">
                <c:v>113.94400299621105</c:v>
              </c:pt>
              <c:pt idx="6">
                <c:v>115.31612546021114</c:v>
              </c:pt>
              <c:pt idx="7">
                <c:v>116.49961062094303</c:v>
              </c:pt>
              <c:pt idx="8">
                <c:v>117.5398283280656</c:v>
              </c:pt>
              <c:pt idx="9">
                <c:v>118.46749266541147</c:v>
              </c:pt>
              <c:pt idx="10">
                <c:v>119.30436506922138</c:v>
              </c:pt>
              <c:pt idx="11">
                <c:v>120.06642765024029</c:v>
              </c:pt>
              <c:pt idx="12">
                <c:v>120.76576425932524</c:v>
              </c:pt>
              <c:pt idx="13">
                <c:v>121.41173349577076</c:v>
              </c:pt>
              <c:pt idx="14">
                <c:v>122.01173121233262</c:v>
              </c:pt>
              <c:pt idx="15">
                <c:v>122.571703687504</c:v>
              </c:pt>
              <c:pt idx="16">
                <c:v>123.09650332364862</c:v>
              </c:pt>
              <c:pt idx="17">
                <c:v>123.5901415207573</c:v>
              </c:pt>
              <c:pt idx="18">
                <c:v>124.05597245370512</c:v>
              </c:pt>
              <c:pt idx="19">
                <c:v>124.49682924011898</c:v>
              </c:pt>
              <c:pt idx="20">
                <c:v>124.91512657305583</c:v>
              </c:pt>
              <c:pt idx="21">
                <c:v>125.3129392657566</c:v>
              </c:pt>
              <c:pt idx="22">
                <c:v>125.69206318951751</c:v>
              </c:pt>
              <c:pt idx="23">
                <c:v>126.05406313833396</c:v>
              </c:pt>
              <c:pt idx="24">
                <c:v>126.40031084788359</c:v>
              </c:pt>
              <c:pt idx="25">
                <c:v>126.73201550339877</c:v>
              </c:pt>
              <c:pt idx="26">
                <c:v>127.05024844964345</c:v>
              </c:pt>
              <c:pt idx="27">
                <c:v>127.35596337695696</c:v>
              </c:pt>
              <c:pt idx="28">
                <c:v>127.65001294225516</c:v>
              </c:pt>
              <c:pt idx="29">
                <c:v>127.93316255482506</c:v>
              </c:pt>
              <c:pt idx="30">
                <c:v>128.20610188817307</c:v>
              </c:pt>
              <c:pt idx="31">
                <c:v>128.46945455368956</c:v>
              </c:pt>
              <c:pt idx="32">
                <c:v>128.7237862774773</c:v>
              </c:pt>
              <c:pt idx="33">
                <c:v>128.96961184995254</c:v>
              </c:pt>
              <c:pt idx="34">
                <c:v>129.20740106282074</c:v>
              </c:pt>
              <c:pt idx="35">
                <c:v>129.43758380548357</c:v>
              </c:pt>
              <c:pt idx="36">
                <c:v>129.66055445976542</c:v>
              </c:pt>
              <c:pt idx="37">
                <c:v>129.8766757057883</c:v>
              </c:pt>
              <c:pt idx="38">
                <c:v>130.08628183121101</c:v>
              </c:pt>
              <c:pt idx="39">
                <c:v>130.28968161962638</c:v>
              </c:pt>
              <c:pt idx="40">
                <c:v>130.48716088075017</c:v>
              </c:pt>
              <c:pt idx="41">
                <c:v>130.67898467442205</c:v>
              </c:pt>
              <c:pt idx="42">
                <c:v>130.86539927183401</c:v>
              </c:pt>
              <c:pt idx="43">
                <c:v>131.04663389038393</c:v>
              </c:pt>
              <c:pt idx="44">
                <c:v>131.22290223280427</c:v>
              </c:pt>
              <c:pt idx="45">
                <c:v>131.39440385647896</c:v>
              </c:pt>
              <c:pt idx="46">
                <c:v>131.56132539494706</c:v>
              </c:pt>
              <c:pt idx="47">
                <c:v>131.72384165033628</c:v>
              </c:pt>
              <c:pt idx="48">
                <c:v>131.88211657275389</c:v>
              </c:pt>
              <c:pt idx="49">
                <c:v>132.0363041403877</c:v>
              </c:pt>
            </c:numLit>
          </c:val>
          <c:extLst>
            <c:ext xmlns:c16="http://schemas.microsoft.com/office/drawing/2014/chart" uri="{C3380CC4-5D6E-409C-BE32-E72D297353CC}">
              <c16:uniqueId val="{00000030-8528-4EC3-BA84-58A13B9AFE50}"/>
            </c:ext>
          </c:extLst>
        </c:ser>
        <c:bandFmts/>
        <c:axId val="949575712"/>
        <c:axId val="949571448"/>
        <c:axId val="794864592"/>
      </c:surface3DChart>
      <c:catAx>
        <c:axId val="949575712"/>
        <c:scaling>
          <c:orientation val="minMax"/>
        </c:scaling>
        <c:delete val="0"/>
        <c:axPos val="t"/>
        <c:title>
          <c:tx>
            <c:rich>
              <a:bodyPr rot="0" spcFirstLastPara="1" vertOverflow="ellipsis" vert="horz" wrap="square" anchor="ctr" anchorCtr="1"/>
              <a:lstStyle/>
              <a:p>
                <a:pPr>
                  <a:defRPr sz="700" b="1" i="0" u="none" strike="noStrike" kern="1200" cap="all" baseline="0">
                    <a:solidFill>
                      <a:schemeClr val="lt1">
                        <a:lumMod val="85000"/>
                      </a:schemeClr>
                    </a:solidFill>
                    <a:latin typeface="+mn-lt"/>
                    <a:ea typeface="+mn-ea"/>
                    <a:cs typeface="+mn-cs"/>
                  </a:defRPr>
                </a:pPr>
                <a:r>
                  <a:rPr lang="en-GB"/>
                  <a:t>Diameter[m]</a:t>
                </a:r>
              </a:p>
            </c:rich>
          </c:tx>
          <c:overlay val="0"/>
          <c:spPr>
            <a:noFill/>
            <a:ln>
              <a:noFill/>
            </a:ln>
            <a:effectLst/>
          </c:sp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49571448"/>
        <c:crosses val="autoZero"/>
        <c:auto val="1"/>
        <c:lblAlgn val="ctr"/>
        <c:lblOffset val="100"/>
        <c:noMultiLvlLbl val="0"/>
      </c:catAx>
      <c:valAx>
        <c:axId val="949571448"/>
        <c:scaling>
          <c:orientation val="maxMin"/>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700" b="1" i="0" u="none" strike="noStrike" kern="1200" cap="all" baseline="0">
                    <a:solidFill>
                      <a:schemeClr val="lt1">
                        <a:lumMod val="85000"/>
                      </a:schemeClr>
                    </a:solidFill>
                    <a:latin typeface="+mn-lt"/>
                    <a:ea typeface="+mn-ea"/>
                    <a:cs typeface="+mn-cs"/>
                  </a:defRPr>
                </a:pPr>
                <a:r>
                  <a:rPr lang="en-GB"/>
                  <a:t>Power[W]</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49575712"/>
        <c:crosses val="autoZero"/>
        <c:crossBetween val="midCat"/>
      </c:valAx>
      <c:serAx>
        <c:axId val="794864592"/>
        <c:scaling>
          <c:orientation val="minMax"/>
        </c:scaling>
        <c:delete val="0"/>
        <c:axPos val="t"/>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949571448"/>
        <c:crosses val="autoZero"/>
      </c:serAx>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B70B-4EAC-907D-2891C359248D}"/>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B70B-4EAC-907D-2891C359248D}"/>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B70B-4EAC-907D-2891C359248D}"/>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Drop" dropStyle="combo" dx="16" fmlaLink="$D$23" fmlaRange="$V$13:$V$19" noThreeD="1" sel="4" val="0"/>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Drop" dropStyle="combo" dx="16" fmlaLink="$C$29" fmlaRange="$U$7:$U$13" noThreeD="1" sel="2" val="0"/>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Drop" dropStyle="combo" dx="16" fmlaLink="$C$28" fmlaRange="$U$7:$U$13" noThreeD="1" sel="2" val="0"/>
</file>

<file path=xl/ctrlProps/ctrlProp11.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pt>
    <dgm:pt modelId="{394CE9F0-BC87-467D-9DEA-8BFF3DCB5242}" type="pres">
      <dgm:prSet presAssocID="{5FA9ACC2-E1DA-4FC0-BDF7-01D6332DA02E}" presName="hierChild4" presStyleCnt="0"/>
      <dgm:spPr/>
    </dgm:pt>
  </dgm:ptLst>
  <dgm:cxnLst>
    <dgm:cxn modelId="{1AA4B005-4E6D-42EE-ADB2-27DFCD8DE4FC}" srcId="{6A07B9C6-4160-455E-8C74-72F18E901367}" destId="{664B6403-71A3-4A6B-B058-991FE51306E9}" srcOrd="0" destOrd="0" parTransId="{E56C7C4E-AC5E-4B58-889C-C4F9F4F6EC69}" sibTransId="{81BE5DF3-4CD0-4787-BBD6-95FFE8CE7B8F}"/>
    <dgm:cxn modelId="{CD8F3423-FCF2-4185-B764-13EE759361BA}" type="presOf" srcId="{E9667564-14AD-45D3-ACD8-C1ABCCBCC63E}" destId="{9F781E3E-3DC2-4767-882E-70745A7F3EC5}"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1AED4339-CE92-4CDE-8451-5FBBAB0269F1}" srcId="{6A07B9C6-4160-455E-8C74-72F18E901367}" destId="{9DAACB1A-536C-4D6D-BFDC-D39639F80174}" srcOrd="1" destOrd="0" parTransId="{92E9788D-3B23-4B6C-995A-7778D4AC8E10}" sibTransId="{B4C9E62B-44F1-4FCA-AEDB-B576BD615C54}"/>
    <dgm:cxn modelId="{D750873F-D599-49FF-92CD-DE1E3473E623}" srcId="{94C7FDD0-AAD2-419C-AFC9-BBBE6FC36DB3}" destId="{E9667564-14AD-45D3-ACD8-C1ABCCBCC63E}" srcOrd="0" destOrd="0" parTransId="{90463D30-C616-4947-BC17-7590517A7167}" sibTransId="{99978BF7-BFAD-4259-8CD5-F930CF966C34}"/>
    <dgm:cxn modelId="{966FE45F-4827-4DA0-807A-67872EF4D582}" type="presOf" srcId="{664B6403-71A3-4A6B-B058-991FE51306E9}" destId="{C7C737C7-06D8-49B6-8471-838B1324602B}"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9350AD66-C4E4-4508-A764-B36EE51D352C}" type="presOf" srcId="{575E53D2-A59E-4C85-8F59-481525832D97}" destId="{CE07A075-C6A1-4671-9E47-E00AACDC435B}"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BC852D4C-3A6E-455F-9FA5-08D3D8E73CAA}" srcId="{E9667564-14AD-45D3-ACD8-C1ABCCBCC63E}" destId="{6A07B9C6-4160-455E-8C74-72F18E901367}" srcOrd="0" destOrd="0" parTransId="{D12E1C3C-E60F-4DB2-B574-8BF0636F23C6}" sibTransId="{4A84A777-7845-4F2B-80FF-4CA141BEC0D8}"/>
    <dgm:cxn modelId="{F490AF73-43EB-4319-B7AF-FADB4E0771A4}" type="presOf" srcId="{92E9788D-3B23-4B6C-995A-7778D4AC8E10}" destId="{41B01B65-88F7-4158-BFC4-30E0EF0E5D42}" srcOrd="0" destOrd="0" presId="urn:microsoft.com/office/officeart/2009/layout/CirclePictureHierarchy"/>
    <dgm:cxn modelId="{DCEAED7D-9FD1-4EC1-AE5B-CDE4CF4E662C}" type="presOf" srcId="{D12E1C3C-E60F-4DB2-B574-8BF0636F23C6}" destId="{0BD93774-5544-47E6-A145-4356ABA9BBD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F5CF10D8-5D8F-4731-9DA2-5A96401441DE}" srcId="{B818A29B-1AD6-44C3-9273-13235861DD41}" destId="{5FA9ACC2-E1DA-4FC0-BDF7-01D6332DA02E}" srcOrd="0" destOrd="0" parTransId="{C7FF01E2-BA5D-4E8E-97F7-C615D0DF98F8}" sibTransId="{52E1DEF9-2D8A-4EFE-BA82-C7F4E6A81D0C}"/>
    <dgm:cxn modelId="{EDF0B1E6-6948-49A3-BE0B-508F6728F6F2}" type="presOf" srcId="{6A07B9C6-4160-455E-8C74-72F18E901367}" destId="{41289680-632B-42A4-BCE5-4C20A233DA89}"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3397567" y="1635445"/>
          <a:ext cx="91440" cy="180772"/>
        </a:xfrm>
        <a:custGeom>
          <a:avLst/>
          <a:gdLst/>
          <a:ahLst/>
          <a:cxnLst/>
          <a:rect l="0" t="0" r="0" b="0"/>
          <a:pathLst>
            <a:path>
              <a:moveTo>
                <a:pt x="45720" y="0"/>
              </a:moveTo>
              <a:lnTo>
                <a:pt x="45720" y="18077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2259657" y="880791"/>
          <a:ext cx="1183630" cy="180772"/>
        </a:xfrm>
        <a:custGeom>
          <a:avLst/>
          <a:gdLst/>
          <a:ahLst/>
          <a:cxnLst/>
          <a:rect l="0" t="0" r="0" b="0"/>
          <a:pathLst>
            <a:path>
              <a:moveTo>
                <a:pt x="0" y="0"/>
              </a:moveTo>
              <a:lnTo>
                <a:pt x="0" y="91103"/>
              </a:lnTo>
              <a:lnTo>
                <a:pt x="1183630" y="91103"/>
              </a:lnTo>
              <a:lnTo>
                <a:pt x="1183630" y="18077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1076027" y="1635445"/>
          <a:ext cx="789086" cy="180772"/>
        </a:xfrm>
        <a:custGeom>
          <a:avLst/>
          <a:gdLst/>
          <a:ahLst/>
          <a:cxnLst/>
          <a:rect l="0" t="0" r="0" b="0"/>
          <a:pathLst>
            <a:path>
              <a:moveTo>
                <a:pt x="0" y="0"/>
              </a:moveTo>
              <a:lnTo>
                <a:pt x="0" y="91103"/>
              </a:lnTo>
              <a:lnTo>
                <a:pt x="789086" y="91103"/>
              </a:lnTo>
              <a:lnTo>
                <a:pt x="789086" y="18077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86940" y="1635445"/>
          <a:ext cx="789086" cy="180772"/>
        </a:xfrm>
        <a:custGeom>
          <a:avLst/>
          <a:gdLst/>
          <a:ahLst/>
          <a:cxnLst/>
          <a:rect l="0" t="0" r="0" b="0"/>
          <a:pathLst>
            <a:path>
              <a:moveTo>
                <a:pt x="789086" y="0"/>
              </a:moveTo>
              <a:lnTo>
                <a:pt x="789086" y="91103"/>
              </a:lnTo>
              <a:lnTo>
                <a:pt x="0" y="91103"/>
              </a:lnTo>
              <a:lnTo>
                <a:pt x="0" y="18077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1076027" y="880791"/>
          <a:ext cx="1183630" cy="180772"/>
        </a:xfrm>
        <a:custGeom>
          <a:avLst/>
          <a:gdLst/>
          <a:ahLst/>
          <a:cxnLst/>
          <a:rect l="0" t="0" r="0" b="0"/>
          <a:pathLst>
            <a:path>
              <a:moveTo>
                <a:pt x="1183630" y="0"/>
              </a:moveTo>
              <a:lnTo>
                <a:pt x="1183630" y="91103"/>
              </a:lnTo>
              <a:lnTo>
                <a:pt x="0" y="91103"/>
              </a:lnTo>
              <a:lnTo>
                <a:pt x="0" y="18077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972716" y="306910"/>
          <a:ext cx="573881" cy="573881"/>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546598" y="305475"/>
          <a:ext cx="860821" cy="573881"/>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marL="0" lvl="0" indent="0" algn="l" defTabSz="1022350">
            <a:lnSpc>
              <a:spcPct val="90000"/>
            </a:lnSpc>
            <a:spcBef>
              <a:spcPct val="0"/>
            </a:spcBef>
            <a:spcAft>
              <a:spcPct val="35000"/>
            </a:spcAft>
            <a:buNone/>
          </a:pPr>
          <a:endParaRPr lang="en-US" sz="2300" kern="1200"/>
        </a:p>
      </dsp:txBody>
      <dsp:txXfrm>
        <a:off x="2546598" y="305475"/>
        <a:ext cx="860821" cy="573881"/>
      </dsp:txXfrm>
    </dsp:sp>
    <dsp:sp modelId="{BA7709C3-4A7D-4077-B8D4-23D52909BE2B}">
      <dsp:nvSpPr>
        <dsp:cNvPr id="0" name=""/>
        <dsp:cNvSpPr/>
      </dsp:nvSpPr>
      <dsp:spPr>
        <a:xfrm>
          <a:off x="789086" y="1061564"/>
          <a:ext cx="573881" cy="573881"/>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362967" y="1060129"/>
          <a:ext cx="860821" cy="573881"/>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marL="0" lvl="0" indent="0" algn="l" defTabSz="1022350">
            <a:lnSpc>
              <a:spcPct val="90000"/>
            </a:lnSpc>
            <a:spcBef>
              <a:spcPct val="0"/>
            </a:spcBef>
            <a:spcAft>
              <a:spcPct val="35000"/>
            </a:spcAft>
            <a:buNone/>
          </a:pPr>
          <a:endParaRPr lang="en-US" sz="2300" kern="1200"/>
        </a:p>
      </dsp:txBody>
      <dsp:txXfrm>
        <a:off x="1362967" y="1060129"/>
        <a:ext cx="860821" cy="573881"/>
      </dsp:txXfrm>
    </dsp:sp>
    <dsp:sp modelId="{D5E7A8B0-6A3A-4D79-A0D2-3741B750C434}">
      <dsp:nvSpPr>
        <dsp:cNvPr id="0" name=""/>
        <dsp:cNvSpPr/>
      </dsp:nvSpPr>
      <dsp:spPr>
        <a:xfrm>
          <a:off x="0" y="1816218"/>
          <a:ext cx="573881" cy="573881"/>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73881" y="1814783"/>
          <a:ext cx="860821" cy="573881"/>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marL="0" lvl="0" indent="0" algn="l" defTabSz="1022350">
            <a:lnSpc>
              <a:spcPct val="90000"/>
            </a:lnSpc>
            <a:spcBef>
              <a:spcPct val="0"/>
            </a:spcBef>
            <a:spcAft>
              <a:spcPct val="35000"/>
            </a:spcAft>
            <a:buNone/>
          </a:pPr>
          <a:endParaRPr lang="en-US" sz="2300" kern="1200"/>
        </a:p>
      </dsp:txBody>
      <dsp:txXfrm>
        <a:off x="573881" y="1814783"/>
        <a:ext cx="860821" cy="573881"/>
      </dsp:txXfrm>
    </dsp:sp>
    <dsp:sp modelId="{B723AF5F-FDBC-4CAD-B15D-2D38F9A0770C}">
      <dsp:nvSpPr>
        <dsp:cNvPr id="0" name=""/>
        <dsp:cNvSpPr/>
      </dsp:nvSpPr>
      <dsp:spPr>
        <a:xfrm>
          <a:off x="1578173" y="1816218"/>
          <a:ext cx="573881" cy="573881"/>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2152054" y="1814783"/>
          <a:ext cx="860821" cy="573881"/>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marL="0" lvl="0" indent="0" algn="l" defTabSz="1022350">
            <a:lnSpc>
              <a:spcPct val="90000"/>
            </a:lnSpc>
            <a:spcBef>
              <a:spcPct val="0"/>
            </a:spcBef>
            <a:spcAft>
              <a:spcPct val="35000"/>
            </a:spcAft>
            <a:buNone/>
          </a:pPr>
          <a:endParaRPr lang="en-US" sz="2300" kern="1200"/>
        </a:p>
      </dsp:txBody>
      <dsp:txXfrm>
        <a:off x="2152054" y="1814783"/>
        <a:ext cx="860821" cy="573881"/>
      </dsp:txXfrm>
    </dsp:sp>
    <dsp:sp modelId="{0E01F25D-3137-42B4-8BD4-03972C203C14}">
      <dsp:nvSpPr>
        <dsp:cNvPr id="0" name=""/>
        <dsp:cNvSpPr/>
      </dsp:nvSpPr>
      <dsp:spPr>
        <a:xfrm>
          <a:off x="3156346" y="1061564"/>
          <a:ext cx="573881" cy="573881"/>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730228" y="1060129"/>
          <a:ext cx="860821" cy="573881"/>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marL="0" lvl="0" indent="0" algn="l" defTabSz="1022350">
            <a:lnSpc>
              <a:spcPct val="90000"/>
            </a:lnSpc>
            <a:spcBef>
              <a:spcPct val="0"/>
            </a:spcBef>
            <a:spcAft>
              <a:spcPct val="35000"/>
            </a:spcAft>
            <a:buNone/>
          </a:pPr>
          <a:endParaRPr lang="en-US" sz="2300" kern="1200"/>
        </a:p>
      </dsp:txBody>
      <dsp:txXfrm>
        <a:off x="3730228" y="1060129"/>
        <a:ext cx="860821" cy="573881"/>
      </dsp:txXfrm>
    </dsp:sp>
    <dsp:sp modelId="{62585ED3-DD1F-468F-8727-16492DB18598}">
      <dsp:nvSpPr>
        <dsp:cNvPr id="0" name=""/>
        <dsp:cNvSpPr/>
      </dsp:nvSpPr>
      <dsp:spPr>
        <a:xfrm>
          <a:off x="3156346" y="1816218"/>
          <a:ext cx="573881" cy="573881"/>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730228" y="1814783"/>
          <a:ext cx="860821" cy="573881"/>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marL="0" lvl="0" indent="0" algn="l" defTabSz="1022350">
            <a:lnSpc>
              <a:spcPct val="90000"/>
            </a:lnSpc>
            <a:spcBef>
              <a:spcPct val="0"/>
            </a:spcBef>
            <a:spcAft>
              <a:spcPct val="35000"/>
            </a:spcAft>
            <a:buNone/>
          </a:pPr>
          <a:endParaRPr lang="en-US" sz="2300" kern="1200"/>
        </a:p>
      </dsp:txBody>
      <dsp:txXfrm>
        <a:off x="3730228" y="1814783"/>
        <a:ext cx="860821" cy="573881"/>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chart" Target="../charts/chart4.xml"/><Relationship Id="rId5" Type="http://schemas.openxmlformats.org/officeDocument/2006/relationships/chart" Target="../charts/chart3.xml"/><Relationship Id="rId4"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2" Type="http://schemas.openxmlformats.org/officeDocument/2006/relationships/image" Target="../media/image9.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19050</xdr:colOff>
          <xdr:row>3</xdr:row>
          <xdr:rowOff>11430</xdr:rowOff>
        </xdr:from>
        <xdr:to>
          <xdr:col>17</xdr:col>
          <xdr:colOff>95250</xdr:colOff>
          <xdr:row>39</xdr:row>
          <xdr:rowOff>11430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0000-0000019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20</xdr:col>
      <xdr:colOff>356167</xdr:colOff>
      <xdr:row>2</xdr:row>
      <xdr:rowOff>88043</xdr:rowOff>
    </xdr:from>
    <xdr:to>
      <xdr:col>29</xdr:col>
      <xdr:colOff>376670</xdr:colOff>
      <xdr:row>10</xdr:row>
      <xdr:rowOff>23008</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24167" y="411893"/>
          <a:ext cx="4821103" cy="1230365"/>
        </a:xfrm>
        <a:prstGeom prst="rect">
          <a:avLst/>
        </a:prstGeom>
      </xdr:spPr>
    </xdr:pic>
    <xdr:clientData/>
  </xdr:twoCellAnchor>
  <xdr:twoCellAnchor>
    <xdr:from>
      <xdr:col>22</xdr:col>
      <xdr:colOff>292150</xdr:colOff>
      <xdr:row>11</xdr:row>
      <xdr:rowOff>105430</xdr:rowOff>
    </xdr:from>
    <xdr:to>
      <xdr:col>26</xdr:col>
      <xdr:colOff>7648</xdr:colOff>
      <xdr:row>15</xdr:row>
      <xdr:rowOff>156967</xdr:rowOff>
    </xdr:to>
    <xdr:pic>
      <xdr:nvPicPr>
        <xdr:cNvPr id="3" name="Picture 2" descr="esa.png">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26950" y="1886605"/>
          <a:ext cx="1849098" cy="699237"/>
        </a:xfrm>
        <a:prstGeom prst="rect">
          <a:avLst/>
        </a:prstGeom>
      </xdr:spPr>
    </xdr:pic>
    <xdr:clientData/>
  </xdr:twoCellAnchor>
  <xdr:twoCellAnchor>
    <xdr:from>
      <xdr:col>10</xdr:col>
      <xdr:colOff>493013</xdr:colOff>
      <xdr:row>6</xdr:row>
      <xdr:rowOff>71827</xdr:rowOff>
    </xdr:from>
    <xdr:to>
      <xdr:col>16</xdr:col>
      <xdr:colOff>457275</xdr:colOff>
      <xdr:row>15</xdr:row>
      <xdr:rowOff>55243</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27013" y="1043377"/>
          <a:ext cx="3164662" cy="1440741"/>
        </a:xfrm>
        <a:prstGeom prst="rect">
          <a:avLst/>
        </a:prstGeom>
      </xdr:spPr>
    </xdr:pic>
    <xdr:clientData/>
  </xdr:twoCellAnchor>
  <xdr:twoCellAnchor>
    <xdr:from>
      <xdr:col>0</xdr:col>
      <xdr:colOff>0</xdr:colOff>
      <xdr:row>25</xdr:row>
      <xdr:rowOff>161278</xdr:rowOff>
    </xdr:from>
    <xdr:to>
      <xdr:col>30</xdr:col>
      <xdr:colOff>214053</xdr:colOff>
      <xdr:row>35</xdr:row>
      <xdr:rowOff>145003</xdr:rowOff>
    </xdr:to>
    <xdr:sp macro="" textlink="">
      <xdr:nvSpPr>
        <xdr:cNvPr id="5" name="TextBox 7">
          <a:extLst>
            <a:ext uri="{FF2B5EF4-FFF2-40B4-BE49-F238E27FC236}">
              <a16:creationId xmlns:a16="http://schemas.microsoft.com/office/drawing/2014/main" id="{00000000-0008-0000-0100-000005000000}"/>
            </a:ext>
          </a:extLst>
        </xdr:cNvPr>
        <xdr:cNvSpPr txBox="1"/>
      </xdr:nvSpPr>
      <xdr:spPr>
        <a:xfrm>
          <a:off x="0" y="4209403"/>
          <a:ext cx="16216053" cy="1602975"/>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 Concurrent Design Facility</a:t>
          </a:r>
        </a:p>
        <a:p>
          <a:pPr algn="ctr"/>
          <a:r>
            <a:rPr lang="en-GB" sz="6600" b="1">
              <a:solidFill>
                <a:schemeClr val="bg1"/>
              </a:solidFill>
            </a:rPr>
            <a:t>Communications </a:t>
          </a:r>
        </a:p>
      </xdr:txBody>
    </xdr:sp>
    <xdr:clientData/>
  </xdr:twoCellAnchor>
  <xdr:twoCellAnchor>
    <xdr:from>
      <xdr:col>0</xdr:col>
      <xdr:colOff>0</xdr:colOff>
      <xdr:row>0</xdr:row>
      <xdr:rowOff>0</xdr:rowOff>
    </xdr:from>
    <xdr:to>
      <xdr:col>30</xdr:col>
      <xdr:colOff>165918</xdr:colOff>
      <xdr:row>60</xdr:row>
      <xdr:rowOff>67109</xdr:rowOff>
    </xdr:to>
    <xdr:grpSp>
      <xdr:nvGrpSpPr>
        <xdr:cNvPr id="6" name="Group 5">
          <a:extLst>
            <a:ext uri="{FF2B5EF4-FFF2-40B4-BE49-F238E27FC236}">
              <a16:creationId xmlns:a16="http://schemas.microsoft.com/office/drawing/2014/main" id="{00000000-0008-0000-0100-000006000000}"/>
            </a:ext>
          </a:extLst>
        </xdr:cNvPr>
        <xdr:cNvGrpSpPr/>
      </xdr:nvGrpSpPr>
      <xdr:grpSpPr>
        <a:xfrm>
          <a:off x="0" y="0"/>
          <a:ext cx="17474204" cy="9537680"/>
          <a:chOff x="48491" y="51954"/>
          <a:chExt cx="16372025" cy="10144486"/>
        </a:xfrm>
      </xdr:grpSpPr>
      <xdr:grpSp>
        <xdr:nvGrpSpPr>
          <xdr:cNvPr id="7" name="Group 6">
            <a:extLst>
              <a:ext uri="{FF2B5EF4-FFF2-40B4-BE49-F238E27FC236}">
                <a16:creationId xmlns:a16="http://schemas.microsoft.com/office/drawing/2014/main" id="{00000000-0008-0000-0100-000007000000}"/>
              </a:ext>
            </a:extLst>
          </xdr:cNvPr>
          <xdr:cNvGrpSpPr/>
        </xdr:nvGrpSpPr>
        <xdr:grpSpPr>
          <a:xfrm>
            <a:off x="48491" y="51954"/>
            <a:ext cx="16372025" cy="10144486"/>
            <a:chOff x="0" y="370644"/>
            <a:chExt cx="17134608" cy="9783930"/>
          </a:xfrm>
        </xdr:grpSpPr>
        <xdr:grpSp>
          <xdr:nvGrpSpPr>
            <xdr:cNvPr id="9" name="Group 8">
              <a:extLst>
                <a:ext uri="{FF2B5EF4-FFF2-40B4-BE49-F238E27FC236}">
                  <a16:creationId xmlns:a16="http://schemas.microsoft.com/office/drawing/2014/main" id="{00000000-0008-0000-0100-000009000000}"/>
                </a:ext>
              </a:extLst>
            </xdr:cNvPr>
            <xdr:cNvGrpSpPr/>
          </xdr:nvGrpSpPr>
          <xdr:grpSpPr>
            <a:xfrm>
              <a:off x="0" y="370644"/>
              <a:ext cx="17116598" cy="9783930"/>
              <a:chOff x="0" y="370644"/>
              <a:chExt cx="17116598" cy="9783930"/>
            </a:xfrm>
          </xdr:grpSpPr>
          <xdr:sp macro="" textlink="">
            <xdr:nvSpPr>
              <xdr:cNvPr id="11" name="Rectangle 10">
                <a:extLst>
                  <a:ext uri="{FF2B5EF4-FFF2-40B4-BE49-F238E27FC236}">
                    <a16:creationId xmlns:a16="http://schemas.microsoft.com/office/drawing/2014/main" id="{00000000-0008-0000-0100-00000B000000}"/>
                  </a:ext>
                </a:extLst>
              </xdr:cNvPr>
              <xdr:cNvSpPr/>
            </xdr:nvSpPr>
            <xdr:spPr>
              <a:xfrm>
                <a:off x="0" y="370644"/>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12" name="Picture 11" descr="esa.png">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13" name="Group 12">
                <a:extLst>
                  <a:ext uri="{FF2B5EF4-FFF2-40B4-BE49-F238E27FC236}">
                    <a16:creationId xmlns:a16="http://schemas.microsoft.com/office/drawing/2014/main" id="{00000000-0008-0000-0100-00000D000000}"/>
                  </a:ext>
                </a:extLst>
              </xdr:cNvPr>
              <xdr:cNvGrpSpPr>
                <a:grpSpLocks noChangeAspect="1"/>
              </xdr:cNvGrpSpPr>
            </xdr:nvGrpSpPr>
            <xdr:grpSpPr>
              <a:xfrm>
                <a:off x="1200726" y="802517"/>
                <a:ext cx="2937929" cy="1524000"/>
                <a:chOff x="9020175" y="9034207"/>
                <a:chExt cx="1526176" cy="972344"/>
              </a:xfrm>
            </xdr:grpSpPr>
            <xdr:sp macro="" textlink="">
              <xdr:nvSpPr>
                <xdr:cNvPr id="15" name="Rectangle 14">
                  <a:extLst>
                    <a:ext uri="{FF2B5EF4-FFF2-40B4-BE49-F238E27FC236}">
                      <a16:creationId xmlns:a16="http://schemas.microsoft.com/office/drawing/2014/main" id="{00000000-0008-0000-0100-00000F000000}"/>
                    </a:ext>
                  </a:extLst>
                </xdr:cNvPr>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6" name="Picture 15" descr="CDF Logo.png">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4" cstate="print"/>
                <a:stretch>
                  <a:fillRect/>
                </a:stretch>
              </xdr:blipFill>
              <xdr:spPr>
                <a:xfrm>
                  <a:off x="9097001" y="9081833"/>
                  <a:ext cx="1449350" cy="890649"/>
                </a:xfrm>
                <a:prstGeom prst="rect">
                  <a:avLst/>
                </a:prstGeom>
              </xdr:spPr>
            </xdr:pic>
          </xdr:grpSp>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10" name="TextBox 7">
              <a:extLst>
                <a:ext uri="{FF2B5EF4-FFF2-40B4-BE49-F238E27FC236}">
                  <a16:creationId xmlns:a16="http://schemas.microsoft.com/office/drawing/2014/main" id="{00000000-0008-0000-0100-00000A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Communications</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00000000-0008-0000-0300-000002000000}"/>
            </a:ext>
          </a:extLst>
        </xdr:cNvPr>
        <xdr:cNvGrpSpPr>
          <a:grpSpLocks/>
        </xdr:cNvGrpSpPr>
      </xdr:nvGrpSpPr>
      <xdr:grpSpPr bwMode="auto">
        <a:xfrm>
          <a:off x="0" y="50800"/>
          <a:ext cx="16034657" cy="549729"/>
          <a:chOff x="9524" y="0"/>
          <a:chExt cx="14117503" cy="485600"/>
        </a:xfrm>
      </xdr:grpSpPr>
      <xdr:sp macro="" textlink="">
        <xdr:nvSpPr>
          <xdr:cNvPr id="3" name="Rectangle 2">
            <a:extLst>
              <a:ext uri="{FF2B5EF4-FFF2-40B4-BE49-F238E27FC236}">
                <a16:creationId xmlns:a16="http://schemas.microsoft.com/office/drawing/2014/main" id="{00000000-0008-0000-03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00000000-0008-0000-0300-000004000000}"/>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Communications </a:t>
            </a:r>
            <a:r>
              <a:rPr lang="en-US" sz="3200" kern="1200" baseline="0">
                <a:latin typeface="+mn-lt"/>
                <a:cs typeface="Times New Roman" pitchFamily="18" charset="0"/>
              </a:rPr>
              <a:t>- 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830942" y="769257"/>
          <a:ext cx="14619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a:t>
          </a:r>
          <a:r>
            <a:rPr lang="en-GB" sz="3200" baseline="0">
              <a:sym typeface="Wingdings 3" panose="05040102010807070707" pitchFamily="18" charset="2"/>
            </a:rPr>
            <a:t> define equipment needed based on data rates and ground station contact ( e.g. antenna, band, transmitter, receiver)</a:t>
          </a:r>
          <a:endParaRPr lang="en-GB" sz="320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evaluate uplink link budget</a:t>
          </a:r>
          <a:endParaRPr lang="en-GB" sz="3200" baseline="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evaluate downlink link budget</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evaluate operative modes </a:t>
          </a:r>
          <a:endParaRPr lang="en-GB" sz="239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95250</xdr:colOff>
      <xdr:row>0</xdr:row>
      <xdr:rowOff>76200</xdr:rowOff>
    </xdr:from>
    <xdr:to>
      <xdr:col>18</xdr:col>
      <xdr:colOff>428625</xdr:colOff>
      <xdr:row>0</xdr:row>
      <xdr:rowOff>428625</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95250" y="76200"/>
          <a:ext cx="15135225" cy="352425"/>
          <a:chOff x="9524" y="0"/>
          <a:chExt cx="14087475" cy="485600"/>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4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Communications System</a:t>
            </a:r>
            <a:r>
              <a:rPr lang="en-US" sz="2200" kern="1200" baseline="0"/>
              <a:t> - Uplink</a:t>
            </a:r>
            <a:endParaRPr lang="en-US" sz="2200" kern="1200"/>
          </a:p>
        </xdr:txBody>
      </xdr:sp>
    </xdr:grpSp>
    <xdr:clientData/>
  </xdr:twoCellAnchor>
  <xdr:twoCellAnchor>
    <xdr:from>
      <xdr:col>17</xdr:col>
      <xdr:colOff>180975</xdr:colOff>
      <xdr:row>0</xdr:row>
      <xdr:rowOff>85725</xdr:rowOff>
    </xdr:from>
    <xdr:to>
      <xdr:col>18</xdr:col>
      <xdr:colOff>427460</xdr:colOff>
      <xdr:row>0</xdr:row>
      <xdr:rowOff>409575</xdr:rowOff>
    </xdr:to>
    <xdr:grpSp>
      <xdr:nvGrpSpPr>
        <xdr:cNvPr id="5" name="Group 4">
          <a:extLst>
            <a:ext uri="{FF2B5EF4-FFF2-40B4-BE49-F238E27FC236}">
              <a16:creationId xmlns:a16="http://schemas.microsoft.com/office/drawing/2014/main" id="{00000000-0008-0000-0400-000005000000}"/>
            </a:ext>
          </a:extLst>
        </xdr:cNvPr>
        <xdr:cNvGrpSpPr>
          <a:grpSpLocks noChangeAspect="1"/>
        </xdr:cNvGrpSpPr>
      </xdr:nvGrpSpPr>
      <xdr:grpSpPr>
        <a:xfrm>
          <a:off x="14605635" y="85725"/>
          <a:ext cx="623675" cy="323850"/>
          <a:chOff x="9020175" y="9163050"/>
          <a:chExt cx="1526176" cy="972344"/>
        </a:xfrm>
      </xdr:grpSpPr>
      <xdr:sp macro="" textlink="">
        <xdr:nvSpPr>
          <xdr:cNvPr id="6" name="Rectangle 5">
            <a:extLst>
              <a:ext uri="{FF2B5EF4-FFF2-40B4-BE49-F238E27FC236}">
                <a16:creationId xmlns:a16="http://schemas.microsoft.com/office/drawing/2014/main" id="{00000000-0008-0000-04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3</xdr:col>
          <xdr:colOff>0</xdr:colOff>
          <xdr:row>21</xdr:row>
          <xdr:rowOff>163830</xdr:rowOff>
        </xdr:from>
        <xdr:to>
          <xdr:col>5</xdr:col>
          <xdr:colOff>373380</xdr:colOff>
          <xdr:row>22</xdr:row>
          <xdr:rowOff>152400</xdr:rowOff>
        </xdr:to>
        <xdr:sp macro="" textlink="">
          <xdr:nvSpPr>
            <xdr:cNvPr id="2094" name="Drop Down 46" hidden="1">
              <a:extLst>
                <a:ext uri="{63B3BB69-23CF-44E3-9099-C40C66FF867C}">
                  <a14:compatExt spid="_x0000_s2094"/>
                </a:ext>
                <a:ext uri="{FF2B5EF4-FFF2-40B4-BE49-F238E27FC236}">
                  <a16:creationId xmlns:a16="http://schemas.microsoft.com/office/drawing/2014/main" id="{00000000-0008-0000-0400-00002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19</xdr:col>
      <xdr:colOff>0</xdr:colOff>
      <xdr:row>0</xdr:row>
      <xdr:rowOff>0</xdr:rowOff>
    </xdr:from>
    <xdr:to>
      <xdr:col>26</xdr:col>
      <xdr:colOff>0</xdr:colOff>
      <xdr:row>21</xdr:row>
      <xdr:rowOff>0</xdr:rowOff>
    </xdr:to>
    <xdr:graphicFrame macro="">
      <xdr:nvGraphicFramePr>
        <xdr:cNvPr id="10" name="Margindiam">
          <a:extLst>
            <a:ext uri="{FF2B5EF4-FFF2-40B4-BE49-F238E27FC236}">
              <a16:creationId xmlns:a16="http://schemas.microsoft.com/office/drawing/2014/main" id="{00000000-0008-0000-04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14</xdr:col>
          <xdr:colOff>30480</xdr:colOff>
          <xdr:row>3</xdr:row>
          <xdr:rowOff>163830</xdr:rowOff>
        </xdr:from>
        <xdr:to>
          <xdr:col>15</xdr:col>
          <xdr:colOff>316230</xdr:colOff>
          <xdr:row>5</xdr:row>
          <xdr:rowOff>19050</xdr:rowOff>
        </xdr:to>
        <xdr:sp macro="" textlink="">
          <xdr:nvSpPr>
            <xdr:cNvPr id="2098" name="Button 50" hidden="1">
              <a:extLst>
                <a:ext uri="{63B3BB69-23CF-44E3-9099-C40C66FF867C}">
                  <a14:compatExt spid="_x0000_s2098"/>
                </a:ext>
                <a:ext uri="{FF2B5EF4-FFF2-40B4-BE49-F238E27FC236}">
                  <a16:creationId xmlns:a16="http://schemas.microsoft.com/office/drawing/2014/main" id="{00000000-0008-0000-0400-00003208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Evaluate receiver Tradespace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49530</xdr:colOff>
          <xdr:row>24</xdr:row>
          <xdr:rowOff>144780</xdr:rowOff>
        </xdr:from>
        <xdr:to>
          <xdr:col>8</xdr:col>
          <xdr:colOff>1725930</xdr:colOff>
          <xdr:row>25</xdr:row>
          <xdr:rowOff>152400</xdr:rowOff>
        </xdr:to>
        <xdr:sp macro="" textlink="">
          <xdr:nvSpPr>
            <xdr:cNvPr id="2100" name="Button 52" hidden="1">
              <a:extLst>
                <a:ext uri="{63B3BB69-23CF-44E3-9099-C40C66FF867C}">
                  <a14:compatExt spid="_x0000_s2100"/>
                </a:ext>
                <a:ext uri="{FF2B5EF4-FFF2-40B4-BE49-F238E27FC236}">
                  <a16:creationId xmlns:a16="http://schemas.microsoft.com/office/drawing/2014/main" id="{00000000-0008-0000-0400-00003408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Close Link Varying Altitude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1021080</xdr:colOff>
          <xdr:row>24</xdr:row>
          <xdr:rowOff>133350</xdr:rowOff>
        </xdr:from>
        <xdr:to>
          <xdr:col>11</xdr:col>
          <xdr:colOff>354330</xdr:colOff>
          <xdr:row>25</xdr:row>
          <xdr:rowOff>163830</xdr:rowOff>
        </xdr:to>
        <xdr:sp macro="" textlink="">
          <xdr:nvSpPr>
            <xdr:cNvPr id="2101" name="Button 53" hidden="1">
              <a:extLst>
                <a:ext uri="{63B3BB69-23CF-44E3-9099-C40C66FF867C}">
                  <a14:compatExt spid="_x0000_s2101"/>
                </a:ext>
                <a:ext uri="{FF2B5EF4-FFF2-40B4-BE49-F238E27FC236}">
                  <a16:creationId xmlns:a16="http://schemas.microsoft.com/office/drawing/2014/main" id="{00000000-0008-0000-0400-00003508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Close link varying beamwidth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1447800</xdr:colOff>
          <xdr:row>40</xdr:row>
          <xdr:rowOff>30480</xdr:rowOff>
        </xdr:from>
        <xdr:to>
          <xdr:col>10</xdr:col>
          <xdr:colOff>487680</xdr:colOff>
          <xdr:row>41</xdr:row>
          <xdr:rowOff>57150</xdr:rowOff>
        </xdr:to>
        <xdr:sp macro="" textlink="">
          <xdr:nvSpPr>
            <xdr:cNvPr id="2102" name="Button 54" hidden="1">
              <a:extLst>
                <a:ext uri="{63B3BB69-23CF-44E3-9099-C40C66FF867C}">
                  <a14:compatExt spid="_x0000_s2102"/>
                </a:ext>
                <a:ext uri="{FF2B5EF4-FFF2-40B4-BE49-F238E27FC236}">
                  <a16:creationId xmlns:a16="http://schemas.microsoft.com/office/drawing/2014/main" id="{00000000-0008-0000-0400-00003608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Close link varying Trasnmitter Diameter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95251</xdr:colOff>
      <xdr:row>0</xdr:row>
      <xdr:rowOff>76200</xdr:rowOff>
    </xdr:from>
    <xdr:to>
      <xdr:col>17</xdr:col>
      <xdr:colOff>457200</xdr:colOff>
      <xdr:row>0</xdr:row>
      <xdr:rowOff>428625</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95251" y="76200"/>
          <a:ext cx="17506949" cy="352425"/>
          <a:chOff x="9524" y="0"/>
          <a:chExt cx="14087475" cy="485600"/>
        </a:xfrm>
      </xdr:grpSpPr>
      <xdr:sp macro="" textlink="">
        <xdr:nvSpPr>
          <xdr:cNvPr id="3" name="Rectangle 2">
            <a:extLst>
              <a:ext uri="{FF2B5EF4-FFF2-40B4-BE49-F238E27FC236}">
                <a16:creationId xmlns:a16="http://schemas.microsoft.com/office/drawing/2014/main" id="{00000000-0008-0000-05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5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Communications System</a:t>
            </a:r>
            <a:r>
              <a:rPr lang="en-US" sz="2200" kern="1200" baseline="0"/>
              <a:t> - Downlink</a:t>
            </a:r>
            <a:endParaRPr lang="en-US" sz="2200" kern="1200"/>
          </a:p>
        </xdr:txBody>
      </xdr:sp>
    </xdr:grpSp>
    <xdr:clientData/>
  </xdr:twoCellAnchor>
  <xdr:twoCellAnchor>
    <xdr:from>
      <xdr:col>16</xdr:col>
      <xdr:colOff>209550</xdr:colOff>
      <xdr:row>0</xdr:row>
      <xdr:rowOff>95250</xdr:rowOff>
    </xdr:from>
    <xdr:to>
      <xdr:col>17</xdr:col>
      <xdr:colOff>456035</xdr:colOff>
      <xdr:row>0</xdr:row>
      <xdr:rowOff>419100</xdr:rowOff>
    </xdr:to>
    <xdr:grpSp>
      <xdr:nvGrpSpPr>
        <xdr:cNvPr id="5" name="Group 4">
          <a:extLst>
            <a:ext uri="{FF2B5EF4-FFF2-40B4-BE49-F238E27FC236}">
              <a16:creationId xmlns:a16="http://schemas.microsoft.com/office/drawing/2014/main" id="{00000000-0008-0000-0500-000005000000}"/>
            </a:ext>
          </a:extLst>
        </xdr:cNvPr>
        <xdr:cNvGrpSpPr>
          <a:grpSpLocks noChangeAspect="1"/>
        </xdr:cNvGrpSpPr>
      </xdr:nvGrpSpPr>
      <xdr:grpSpPr>
        <a:xfrm>
          <a:off x="16978032" y="95250"/>
          <a:ext cx="623003" cy="323850"/>
          <a:chOff x="9020175" y="9163050"/>
          <a:chExt cx="1526176" cy="972344"/>
        </a:xfrm>
      </xdr:grpSpPr>
      <xdr:sp macro="" textlink="">
        <xdr:nvSpPr>
          <xdr:cNvPr id="6" name="Rectangle 5">
            <a:extLst>
              <a:ext uri="{FF2B5EF4-FFF2-40B4-BE49-F238E27FC236}">
                <a16:creationId xmlns:a16="http://schemas.microsoft.com/office/drawing/2014/main" id="{00000000-0008-0000-05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1</xdr:col>
          <xdr:colOff>1630680</xdr:colOff>
          <xdr:row>28</xdr:row>
          <xdr:rowOff>19050</xdr:rowOff>
        </xdr:from>
        <xdr:to>
          <xdr:col>3</xdr:col>
          <xdr:colOff>1078230</xdr:colOff>
          <xdr:row>28</xdr:row>
          <xdr:rowOff>163830</xdr:rowOff>
        </xdr:to>
        <xdr:sp macro="" textlink="">
          <xdr:nvSpPr>
            <xdr:cNvPr id="3130" name="Drop Down 58" hidden="1">
              <a:extLst>
                <a:ext uri="{63B3BB69-23CF-44E3-9099-C40C66FF867C}">
                  <a14:compatExt spid="_x0000_s3130"/>
                </a:ext>
                <a:ext uri="{FF2B5EF4-FFF2-40B4-BE49-F238E27FC236}">
                  <a16:creationId xmlns:a16="http://schemas.microsoft.com/office/drawing/2014/main" id="{00000000-0008-0000-0500-00003A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1790700</xdr:colOff>
          <xdr:row>3</xdr:row>
          <xdr:rowOff>163830</xdr:rowOff>
        </xdr:from>
        <xdr:to>
          <xdr:col>3</xdr:col>
          <xdr:colOff>1295400</xdr:colOff>
          <xdr:row>5</xdr:row>
          <xdr:rowOff>30480</xdr:rowOff>
        </xdr:to>
        <xdr:sp macro="" textlink="">
          <xdr:nvSpPr>
            <xdr:cNvPr id="3143" name="Button 71" hidden="1">
              <a:extLst>
                <a:ext uri="{63B3BB69-23CF-44E3-9099-C40C66FF867C}">
                  <a14:compatExt spid="_x0000_s3143"/>
                </a:ext>
                <a:ext uri="{FF2B5EF4-FFF2-40B4-BE49-F238E27FC236}">
                  <a16:creationId xmlns:a16="http://schemas.microsoft.com/office/drawing/2014/main" id="{00000000-0008-0000-0500-0000470C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Evaluate Transmitter Tradespace</a:t>
              </a:r>
            </a:p>
          </xdr:txBody>
        </xdr:sp>
        <xdr:clientData fPrintsWithSheet="0"/>
      </xdr:twoCellAnchor>
    </mc:Choice>
    <mc:Fallback/>
  </mc:AlternateContent>
  <xdr:twoCellAnchor editAs="oneCell">
    <xdr:from>
      <xdr:col>27</xdr:col>
      <xdr:colOff>127000</xdr:colOff>
      <xdr:row>33</xdr:row>
      <xdr:rowOff>137304</xdr:rowOff>
    </xdr:from>
    <xdr:to>
      <xdr:col>29</xdr:col>
      <xdr:colOff>153474</xdr:colOff>
      <xdr:row>41</xdr:row>
      <xdr:rowOff>116115</xdr:rowOff>
    </xdr:to>
    <xdr:pic>
      <xdr:nvPicPr>
        <xdr:cNvPr id="66" name="Picture 11">
          <a:extLst>
            <a:ext uri="{FF2B5EF4-FFF2-40B4-BE49-F238E27FC236}">
              <a16:creationId xmlns:a16="http://schemas.microsoft.com/office/drawing/2014/main" id="{00000000-0008-0000-0500-000042000000}"/>
            </a:ext>
          </a:extLst>
        </xdr:cNvPr>
        <xdr:cNvPicPr>
          <a:picLocks noChangeAspect="1" noChangeArrowheads="1"/>
        </xdr:cNvPicPr>
      </xdr:nvPicPr>
      <xdr:blipFill>
        <a:blip xmlns:r="http://schemas.openxmlformats.org/officeDocument/2006/relationships" r:embed="rId2" cstate="print">
          <a:clrChange>
            <a:clrFrom>
              <a:srgbClr val="FFFFFF"/>
            </a:clrFrom>
            <a:clrTo>
              <a:srgbClr val="FFFFFF">
                <a:alpha val="0"/>
              </a:srgbClr>
            </a:clrTo>
          </a:clrChange>
        </a:blip>
        <a:srcRect t="45961" r="78751" b="24057"/>
        <a:stretch>
          <a:fillRect/>
        </a:stretch>
      </xdr:blipFill>
      <xdr:spPr bwMode="auto">
        <a:xfrm>
          <a:off x="22043571" y="6142590"/>
          <a:ext cx="1205760" cy="1384882"/>
        </a:xfrm>
        <a:prstGeom prst="rect">
          <a:avLst/>
        </a:prstGeom>
        <a:noFill/>
      </xdr:spPr>
    </xdr:pic>
    <xdr:clientData/>
  </xdr:twoCellAnchor>
  <xdr:twoCellAnchor editAs="oneCell">
    <xdr:from>
      <xdr:col>29</xdr:col>
      <xdr:colOff>462643</xdr:colOff>
      <xdr:row>30</xdr:row>
      <xdr:rowOff>23429</xdr:rowOff>
    </xdr:from>
    <xdr:to>
      <xdr:col>34</xdr:col>
      <xdr:colOff>145145</xdr:colOff>
      <xdr:row>34</xdr:row>
      <xdr:rowOff>130628</xdr:rowOff>
    </xdr:to>
    <xdr:pic>
      <xdr:nvPicPr>
        <xdr:cNvPr id="67" name="Picture 12">
          <a:extLst>
            <a:ext uri="{FF2B5EF4-FFF2-40B4-BE49-F238E27FC236}">
              <a16:creationId xmlns:a16="http://schemas.microsoft.com/office/drawing/2014/main" id="{00000000-0008-0000-0500-000043000000}"/>
            </a:ext>
          </a:extLst>
        </xdr:cNvPr>
        <xdr:cNvPicPr>
          <a:picLocks noChangeAspect="1" noChangeArrowheads="1"/>
        </xdr:cNvPicPr>
      </xdr:nvPicPr>
      <xdr:blipFill>
        <a:blip xmlns:r="http://schemas.openxmlformats.org/officeDocument/2006/relationships" r:embed="rId3" cstate="print"/>
        <a:srcRect t="33713" b="31818"/>
        <a:stretch>
          <a:fillRect/>
        </a:stretch>
      </xdr:blipFill>
      <xdr:spPr bwMode="auto">
        <a:xfrm>
          <a:off x="23558500" y="5511643"/>
          <a:ext cx="2630715" cy="796628"/>
        </a:xfrm>
        <a:prstGeom prst="rect">
          <a:avLst/>
        </a:prstGeom>
        <a:noFill/>
      </xdr:spPr>
    </xdr:pic>
    <xdr:clientData/>
  </xdr:twoCellAnchor>
  <xdr:twoCellAnchor>
    <xdr:from>
      <xdr:col>29</xdr:col>
      <xdr:colOff>127000</xdr:colOff>
      <xdr:row>34</xdr:row>
      <xdr:rowOff>72065</xdr:rowOff>
    </xdr:from>
    <xdr:to>
      <xdr:col>30</xdr:col>
      <xdr:colOff>579551</xdr:colOff>
      <xdr:row>36</xdr:row>
      <xdr:rowOff>99786</xdr:rowOff>
    </xdr:to>
    <xdr:sp macro="" textlink="">
      <xdr:nvSpPr>
        <xdr:cNvPr id="68" name="Line 13">
          <a:extLst>
            <a:ext uri="{FF2B5EF4-FFF2-40B4-BE49-F238E27FC236}">
              <a16:creationId xmlns:a16="http://schemas.microsoft.com/office/drawing/2014/main" id="{00000000-0008-0000-0500-000044000000}"/>
            </a:ext>
          </a:extLst>
        </xdr:cNvPr>
        <xdr:cNvSpPr>
          <a:spLocks noChangeShapeType="1"/>
        </xdr:cNvSpPr>
      </xdr:nvSpPr>
      <xdr:spPr bwMode="auto">
        <a:xfrm flipV="1">
          <a:off x="23222857" y="6249708"/>
          <a:ext cx="1042194" cy="372435"/>
        </a:xfrm>
        <a:prstGeom prst="line">
          <a:avLst/>
        </a:prstGeom>
        <a:noFill/>
        <a:ln w="28575">
          <a:solidFill>
            <a:srgbClr val="0000FF"/>
          </a:solidFill>
          <a:round/>
          <a:headEnd type="triangle" w="med" len="med"/>
          <a:tailEnd/>
        </a:ln>
      </xdr:spPr>
    </xdr:sp>
    <xdr:clientData/>
  </xdr:twoCellAnchor>
  <xdr:twoCellAnchor>
    <xdr:from>
      <xdr:col>18</xdr:col>
      <xdr:colOff>0</xdr:colOff>
      <xdr:row>3</xdr:row>
      <xdr:rowOff>0</xdr:rowOff>
    </xdr:from>
    <xdr:to>
      <xdr:col>25</xdr:col>
      <xdr:colOff>0</xdr:colOff>
      <xdr:row>23</xdr:row>
      <xdr:rowOff>0</xdr:rowOff>
    </xdr:to>
    <xdr:graphicFrame macro="">
      <xdr:nvGraphicFramePr>
        <xdr:cNvPr id="3137" name="commtrade">
          <a:extLst>
            <a:ext uri="{FF2B5EF4-FFF2-40B4-BE49-F238E27FC236}">
              <a16:creationId xmlns:a16="http://schemas.microsoft.com/office/drawing/2014/main" id="{00000000-0008-0000-0500-000041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22</xdr:row>
      <xdr:rowOff>0</xdr:rowOff>
    </xdr:from>
    <xdr:to>
      <xdr:col>25</xdr:col>
      <xdr:colOff>0</xdr:colOff>
      <xdr:row>42</xdr:row>
      <xdr:rowOff>0</xdr:rowOff>
    </xdr:to>
    <xdr:graphicFrame macro="">
      <xdr:nvGraphicFramePr>
        <xdr:cNvPr id="3138" name="Margindiam">
          <a:extLst>
            <a:ext uri="{FF2B5EF4-FFF2-40B4-BE49-F238E27FC236}">
              <a16:creationId xmlns:a16="http://schemas.microsoft.com/office/drawing/2014/main" id="{00000000-0008-0000-0500-000042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25</xdr:col>
      <xdr:colOff>0</xdr:colOff>
      <xdr:row>3</xdr:row>
      <xdr:rowOff>0</xdr:rowOff>
    </xdr:from>
    <xdr:to>
      <xdr:col>36</xdr:col>
      <xdr:colOff>0</xdr:colOff>
      <xdr:row>30</xdr:row>
      <xdr:rowOff>0</xdr:rowOff>
    </xdr:to>
    <xdr:graphicFrame macro="">
      <xdr:nvGraphicFramePr>
        <xdr:cNvPr id="3151" name="TradeSC">
          <a:extLst>
            <a:ext uri="{FF2B5EF4-FFF2-40B4-BE49-F238E27FC236}">
              <a16:creationId xmlns:a16="http://schemas.microsoft.com/office/drawing/2014/main" id="{00000000-0008-0000-0500-00004F0C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xdr:from>
          <xdr:col>7</xdr:col>
          <xdr:colOff>342900</xdr:colOff>
          <xdr:row>24</xdr:row>
          <xdr:rowOff>163830</xdr:rowOff>
        </xdr:from>
        <xdr:to>
          <xdr:col>8</xdr:col>
          <xdr:colOff>182880</xdr:colOff>
          <xdr:row>25</xdr:row>
          <xdr:rowOff>163830</xdr:rowOff>
        </xdr:to>
        <xdr:sp macro="" textlink="">
          <xdr:nvSpPr>
            <xdr:cNvPr id="3145" name="Button 73" hidden="1">
              <a:extLst>
                <a:ext uri="{63B3BB69-23CF-44E3-9099-C40C66FF867C}">
                  <a14:compatExt spid="_x0000_s3145"/>
                </a:ext>
                <a:ext uri="{FF2B5EF4-FFF2-40B4-BE49-F238E27FC236}">
                  <a16:creationId xmlns:a16="http://schemas.microsoft.com/office/drawing/2014/main" id="{00000000-0008-0000-0500-0000490C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Close Link Varying Altitude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895350</xdr:colOff>
          <xdr:row>24</xdr:row>
          <xdr:rowOff>152400</xdr:rowOff>
        </xdr:from>
        <xdr:to>
          <xdr:col>10</xdr:col>
          <xdr:colOff>30480</xdr:colOff>
          <xdr:row>26</xdr:row>
          <xdr:rowOff>11430</xdr:rowOff>
        </xdr:to>
        <xdr:sp macro="" textlink="">
          <xdr:nvSpPr>
            <xdr:cNvPr id="3146" name="Button 74" hidden="1">
              <a:extLst>
                <a:ext uri="{63B3BB69-23CF-44E3-9099-C40C66FF867C}">
                  <a14:compatExt spid="_x0000_s3146"/>
                </a:ext>
                <a:ext uri="{FF2B5EF4-FFF2-40B4-BE49-F238E27FC236}">
                  <a16:creationId xmlns:a16="http://schemas.microsoft.com/office/drawing/2014/main" id="{00000000-0008-0000-0500-00004A0C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Close link varying beamwidth</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95251</xdr:colOff>
      <xdr:row>0</xdr:row>
      <xdr:rowOff>76200</xdr:rowOff>
    </xdr:from>
    <xdr:to>
      <xdr:col>17</xdr:col>
      <xdr:colOff>457200</xdr:colOff>
      <xdr:row>0</xdr:row>
      <xdr:rowOff>428625</xdr:rowOff>
    </xdr:to>
    <xdr:grpSp>
      <xdr:nvGrpSpPr>
        <xdr:cNvPr id="2" name="Group 1">
          <a:extLst>
            <a:ext uri="{FF2B5EF4-FFF2-40B4-BE49-F238E27FC236}">
              <a16:creationId xmlns:a16="http://schemas.microsoft.com/office/drawing/2014/main" id="{00000000-0008-0000-0600-000002000000}"/>
            </a:ext>
          </a:extLst>
        </xdr:cNvPr>
        <xdr:cNvGrpSpPr/>
      </xdr:nvGrpSpPr>
      <xdr:grpSpPr>
        <a:xfrm>
          <a:off x="95251" y="76200"/>
          <a:ext cx="15585620" cy="352425"/>
          <a:chOff x="9524" y="0"/>
          <a:chExt cx="14087475" cy="485600"/>
        </a:xfrm>
      </xdr:grpSpPr>
      <xdr:sp macro="" textlink="">
        <xdr:nvSpPr>
          <xdr:cNvPr id="3" name="Rectangle 2">
            <a:extLst>
              <a:ext uri="{FF2B5EF4-FFF2-40B4-BE49-F238E27FC236}">
                <a16:creationId xmlns:a16="http://schemas.microsoft.com/office/drawing/2014/main" id="{00000000-0008-0000-06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6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Communications System</a:t>
            </a:r>
            <a:r>
              <a:rPr lang="en-US" sz="2200" kern="1200" baseline="0"/>
              <a:t> - Interlink</a:t>
            </a:r>
            <a:endParaRPr lang="en-US" sz="2200" kern="1200"/>
          </a:p>
        </xdr:txBody>
      </xdr:sp>
    </xdr:grpSp>
    <xdr:clientData/>
  </xdr:twoCellAnchor>
  <xdr:twoCellAnchor>
    <xdr:from>
      <xdr:col>16</xdr:col>
      <xdr:colOff>209550</xdr:colOff>
      <xdr:row>0</xdr:row>
      <xdr:rowOff>95250</xdr:rowOff>
    </xdr:from>
    <xdr:to>
      <xdr:col>17</xdr:col>
      <xdr:colOff>456035</xdr:colOff>
      <xdr:row>0</xdr:row>
      <xdr:rowOff>419100</xdr:rowOff>
    </xdr:to>
    <xdr:grpSp>
      <xdr:nvGrpSpPr>
        <xdr:cNvPr id="5" name="Group 4">
          <a:extLst>
            <a:ext uri="{FF2B5EF4-FFF2-40B4-BE49-F238E27FC236}">
              <a16:creationId xmlns:a16="http://schemas.microsoft.com/office/drawing/2014/main" id="{00000000-0008-0000-0600-000005000000}"/>
            </a:ext>
          </a:extLst>
        </xdr:cNvPr>
        <xdr:cNvGrpSpPr>
          <a:grpSpLocks noChangeAspect="1"/>
        </xdr:cNvGrpSpPr>
      </xdr:nvGrpSpPr>
      <xdr:grpSpPr>
        <a:xfrm>
          <a:off x="15057664" y="95250"/>
          <a:ext cx="622042" cy="323850"/>
          <a:chOff x="9020175" y="9163050"/>
          <a:chExt cx="1526176" cy="972344"/>
        </a:xfrm>
      </xdr:grpSpPr>
      <xdr:sp macro="" textlink="">
        <xdr:nvSpPr>
          <xdr:cNvPr id="6" name="Rectangle 5">
            <a:extLst>
              <a:ext uri="{FF2B5EF4-FFF2-40B4-BE49-F238E27FC236}">
                <a16:creationId xmlns:a16="http://schemas.microsoft.com/office/drawing/2014/main" id="{00000000-0008-0000-06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1</xdr:col>
          <xdr:colOff>1630680</xdr:colOff>
          <xdr:row>27</xdr:row>
          <xdr:rowOff>19050</xdr:rowOff>
        </xdr:from>
        <xdr:to>
          <xdr:col>4</xdr:col>
          <xdr:colOff>323850</xdr:colOff>
          <xdr:row>27</xdr:row>
          <xdr:rowOff>163830</xdr:rowOff>
        </xdr:to>
        <xdr:sp macro="" textlink="">
          <xdr:nvSpPr>
            <xdr:cNvPr id="44033" name="Drop Down 1" hidden="1">
              <a:extLst>
                <a:ext uri="{63B3BB69-23CF-44E3-9099-C40C66FF867C}">
                  <a14:compatExt spid="_x0000_s44033"/>
                </a:ext>
                <a:ext uri="{FF2B5EF4-FFF2-40B4-BE49-F238E27FC236}">
                  <a16:creationId xmlns:a16="http://schemas.microsoft.com/office/drawing/2014/main" id="{00000000-0008-0000-0600-000001A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1676400</xdr:colOff>
          <xdr:row>24</xdr:row>
          <xdr:rowOff>11430</xdr:rowOff>
        </xdr:from>
        <xdr:to>
          <xdr:col>8</xdr:col>
          <xdr:colOff>1268730</xdr:colOff>
          <xdr:row>25</xdr:row>
          <xdr:rowOff>11430</xdr:rowOff>
        </xdr:to>
        <xdr:sp macro="" textlink="">
          <xdr:nvSpPr>
            <xdr:cNvPr id="44086" name="Button 54" hidden="1">
              <a:extLst>
                <a:ext uri="{63B3BB69-23CF-44E3-9099-C40C66FF867C}">
                  <a14:compatExt spid="_x0000_s44086"/>
                </a:ext>
                <a:ext uri="{FF2B5EF4-FFF2-40B4-BE49-F238E27FC236}">
                  <a16:creationId xmlns:a16="http://schemas.microsoft.com/office/drawing/2014/main" id="{00000000-0008-0000-0600-000036AC0000}"/>
                </a:ext>
              </a:extLst>
            </xdr:cNvPr>
            <xdr:cNvSpPr/>
          </xdr:nvSpPr>
          <xdr:spPr bwMode="auto">
            <a:xfrm>
              <a:off x="0" y="0"/>
              <a:ext cx="0" cy="0"/>
            </a:xfrm>
            <a:prstGeom prst="rect">
              <a:avLst/>
            </a:prstGeom>
            <a:noFill/>
            <a:ln w="9525">
              <a:miter lim="800000"/>
              <a:headEnd/>
              <a:tailEnd/>
            </a:ln>
          </xdr:spPr>
          <xdr:txBody>
            <a:bodyPr vertOverflow="clip" wrap="square" lIns="54864" tIns="45720" rIns="54864" bIns="45720" anchor="ctr" upright="1"/>
            <a:lstStyle/>
            <a:p>
              <a:pPr algn="ctr" rtl="0">
                <a:defRPr sz="1000"/>
              </a:pPr>
              <a:r>
                <a:rPr lang="en-GB" sz="1000" b="0" i="0" u="none" strike="noStrike" baseline="0">
                  <a:solidFill>
                    <a:srgbClr val="000000"/>
                  </a:solidFill>
                  <a:latin typeface="Times New Roman"/>
                  <a:cs typeface="Times New Roman"/>
                </a:rPr>
                <a:t>Close Link Varying Range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22</xdr:col>
      <xdr:colOff>138546</xdr:colOff>
      <xdr:row>5</xdr:row>
      <xdr:rowOff>17471</xdr:rowOff>
    </xdr:to>
    <xdr:sp macro="" textlink="">
      <xdr:nvSpPr>
        <xdr:cNvPr id="2" name="Rectangle 1">
          <a:extLst>
            <a:ext uri="{FF2B5EF4-FFF2-40B4-BE49-F238E27FC236}">
              <a16:creationId xmlns:a16="http://schemas.microsoft.com/office/drawing/2014/main" id="{00000000-0008-0000-0800-000002000000}"/>
            </a:ext>
          </a:extLst>
        </xdr:cNvPr>
        <xdr:cNvSpPr/>
      </xdr:nvSpPr>
      <xdr:spPr bwMode="auto">
        <a:xfrm>
          <a:off x="0" y="0"/>
          <a:ext cx="26510096" cy="1128721"/>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a:p>
      </xdr:txBody>
    </xdr:sp>
    <xdr:clientData/>
  </xdr:twoCellAnchor>
  <xdr:twoCellAnchor>
    <xdr:from>
      <xdr:col>0</xdr:col>
      <xdr:colOff>0</xdr:colOff>
      <xdr:row>0</xdr:row>
      <xdr:rowOff>0</xdr:rowOff>
    </xdr:from>
    <xdr:to>
      <xdr:col>23</xdr:col>
      <xdr:colOff>386260</xdr:colOff>
      <xdr:row>5</xdr:row>
      <xdr:rowOff>17471</xdr:rowOff>
    </xdr:to>
    <xdr:sp macro="" textlink="">
      <xdr:nvSpPr>
        <xdr:cNvPr id="3" name="Rectangle 2">
          <a:extLst>
            <a:ext uri="{FF2B5EF4-FFF2-40B4-BE49-F238E27FC236}">
              <a16:creationId xmlns:a16="http://schemas.microsoft.com/office/drawing/2014/main" id="{00000000-0008-0000-0800-000003000000}"/>
            </a:ext>
          </a:extLst>
        </xdr:cNvPr>
        <xdr:cNvSpPr/>
      </xdr:nvSpPr>
      <xdr:spPr bwMode="auto">
        <a:xfrm>
          <a:off x="0" y="0"/>
          <a:ext cx="27367410" cy="1128721"/>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4700" kern="1200">
              <a:latin typeface="+mn-lt"/>
              <a:cs typeface="Times New Roman" pitchFamily="18" charset="0"/>
            </a:rPr>
            <a:t>Ground Segment</a:t>
          </a:r>
          <a:r>
            <a:rPr lang="en-US" sz="5000" kern="1200">
              <a:latin typeface="+mn-lt"/>
              <a:cs typeface="Times New Roman" pitchFamily="18" charset="0"/>
            </a:rPr>
            <a:t> - Existing ESA Ground Systems </a:t>
          </a:r>
          <a:r>
            <a:rPr lang="en-US" sz="4000" kern="1200" baseline="0">
              <a:latin typeface="+mn-lt"/>
              <a:cs typeface="Times New Roman" pitchFamily="18" charset="0"/>
            </a:rPr>
            <a:t> </a:t>
          </a:r>
          <a:endParaRPr lang="en-US" sz="4000" kern="1200">
            <a:latin typeface="+mn-lt"/>
            <a:cs typeface="Times New Roman"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3</xdr:col>
      <xdr:colOff>107950</xdr:colOff>
      <xdr:row>4</xdr:row>
      <xdr:rowOff>114300</xdr:rowOff>
    </xdr:from>
    <xdr:to>
      <xdr:col>5</xdr:col>
      <xdr:colOff>247650</xdr:colOff>
      <xdr:row>6</xdr:row>
      <xdr:rowOff>6350</xdr:rowOff>
    </xdr:to>
    <xdr:sp macro="" textlink="">
      <xdr:nvSpPr>
        <xdr:cNvPr id="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0</xdr:colOff>
      <xdr:row>0</xdr:row>
      <xdr:rowOff>12700</xdr:rowOff>
    </xdr:from>
    <xdr:to>
      <xdr:col>7</xdr:col>
      <xdr:colOff>609600</xdr:colOff>
      <xdr:row>2</xdr:row>
      <xdr:rowOff>101600</xdr:rowOff>
    </xdr:to>
    <xdr:grpSp>
      <xdr:nvGrpSpPr>
        <xdr:cNvPr id="42" name="Group 41">
          <a:extLst>
            <a:ext uri="{FF2B5EF4-FFF2-40B4-BE49-F238E27FC236}">
              <a16:creationId xmlns:a16="http://schemas.microsoft.com/office/drawing/2014/main" id="{00000000-0008-0000-0A00-00002A000000}"/>
            </a:ext>
          </a:extLst>
        </xdr:cNvPr>
        <xdr:cNvGrpSpPr>
          <a:grpSpLocks/>
        </xdr:cNvGrpSpPr>
      </xdr:nvGrpSpPr>
      <xdr:grpSpPr bwMode="auto">
        <a:xfrm>
          <a:off x="0" y="12700"/>
          <a:ext cx="6553200" cy="439420"/>
          <a:chOff x="9524" y="0"/>
          <a:chExt cx="14087475" cy="485600"/>
        </a:xfrm>
      </xdr:grpSpPr>
      <xdr:sp macro="" textlink="">
        <xdr:nvSpPr>
          <xdr:cNvPr id="43" name="Rectangle 42">
            <a:extLst>
              <a:ext uri="{FF2B5EF4-FFF2-40B4-BE49-F238E27FC236}">
                <a16:creationId xmlns:a16="http://schemas.microsoft.com/office/drawing/2014/main" id="{00000000-0008-0000-0A00-00002B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44" name="Rectangle 43">
            <a:extLst>
              <a:ext uri="{FF2B5EF4-FFF2-40B4-BE49-F238E27FC236}">
                <a16:creationId xmlns:a16="http://schemas.microsoft.com/office/drawing/2014/main" id="{00000000-0008-0000-0A00-00002C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Communications</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9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A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B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C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D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E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F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0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1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2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3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4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5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6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7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A00-00008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698500</xdr:colOff>
      <xdr:row>5</xdr:row>
      <xdr:rowOff>101600</xdr:rowOff>
    </xdr:from>
    <xdr:to>
      <xdr:col>6</xdr:col>
      <xdr:colOff>6350</xdr:colOff>
      <xdr:row>20</xdr:row>
      <xdr:rowOff>82550</xdr:rowOff>
    </xdr:to>
    <xdr:graphicFrame macro="">
      <xdr:nvGraphicFramePr>
        <xdr:cNvPr id="2703" name="Diagram 2702">
          <a:extLst>
            <a:ext uri="{FF2B5EF4-FFF2-40B4-BE49-F238E27FC236}">
              <a16:creationId xmlns:a16="http://schemas.microsoft.com/office/drawing/2014/main" id="{00000000-0008-0000-0A00-00008F0A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35087</xdr:colOff>
      <xdr:row>30</xdr:row>
      <xdr:rowOff>143406</xdr:rowOff>
    </xdr:from>
    <xdr:to>
      <xdr:col>9</xdr:col>
      <xdr:colOff>668378</xdr:colOff>
      <xdr:row>40</xdr:row>
      <xdr:rowOff>107548</xdr:rowOff>
    </xdr:to>
    <xdr:pic>
      <xdr:nvPicPr>
        <xdr:cNvPr id="2" name="Picture 25">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18237" y="5229756"/>
          <a:ext cx="3719391" cy="16786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0</xdr:row>
      <xdr:rowOff>28575</xdr:rowOff>
    </xdr:from>
    <xdr:to>
      <xdr:col>13</xdr:col>
      <xdr:colOff>274410</xdr:colOff>
      <xdr:row>2</xdr:row>
      <xdr:rowOff>63500</xdr:rowOff>
    </xdr:to>
    <xdr:grpSp>
      <xdr:nvGrpSpPr>
        <xdr:cNvPr id="3" name="Group 2">
          <a:extLst>
            <a:ext uri="{FF2B5EF4-FFF2-40B4-BE49-F238E27FC236}">
              <a16:creationId xmlns:a16="http://schemas.microsoft.com/office/drawing/2014/main" id="{00000000-0008-0000-0B00-000003000000}"/>
            </a:ext>
          </a:extLst>
        </xdr:cNvPr>
        <xdr:cNvGrpSpPr/>
      </xdr:nvGrpSpPr>
      <xdr:grpSpPr>
        <a:xfrm>
          <a:off x="0" y="28575"/>
          <a:ext cx="12762245" cy="357654"/>
          <a:chOff x="9524" y="0"/>
          <a:chExt cx="14087475" cy="485600"/>
        </a:xfrm>
      </xdr:grpSpPr>
      <xdr:sp macro="" textlink="">
        <xdr:nvSpPr>
          <xdr:cNvPr id="4" name="Rectangle 3">
            <a:extLst>
              <a:ext uri="{FF2B5EF4-FFF2-40B4-BE49-F238E27FC236}">
                <a16:creationId xmlns:a16="http://schemas.microsoft.com/office/drawing/2014/main" id="{00000000-0008-0000-0B00-000004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5" name="Rectangle 4">
            <a:extLst>
              <a:ext uri="{FF2B5EF4-FFF2-40B4-BE49-F238E27FC236}">
                <a16:creationId xmlns:a16="http://schemas.microsoft.com/office/drawing/2014/main" id="{00000000-0008-0000-0B00-000005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Communications System</a:t>
            </a:r>
            <a:r>
              <a:rPr lang="en-US" sz="2200" kern="1200" baseline="0"/>
              <a:t> - Antenna Design</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Payload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CubeSats(BETA)\CubeSat_ESA-ISU_Communications_v1.8.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Teacher\Desktop\Calculation%20sheets\Old\ESA-ISU_CalculationSheet_Communications(Without%20Ground%20segment%20expert).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Payload_v1.5.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Loris%20Franchi\Desktop\Ideas%20for%20worksheets%20integrations\Calculation%20sheets_ToBeReviewd\Thermal%20And%20Structure\Subsyste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ADCS_v1.9.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ADCS_v2.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Mission_v2.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wenael%20Van%20Looveren\Desktop\Calculation%20Sheets\ESA-ISU_Mission_v2.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Mission_v2.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DHS_V1.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WithTradeOff\Structure_V1.9%20(With%20TradeOff%20And%20Product%20Tree).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oris%20Franchi\Desktop\ADP\Temp\Calculation%20Sheets\Updated\ESA-ISU_Mission_v1.9.1.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loris\Desktop\CDF%20Polito%20Final\Calculation%20Sheets\ESA-ISU_Thermal_v2.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Users\Loris%20Franchi\Desktop\ADP%20final\Calculation%20Sheets\WithMacros\ESA-ISU_Thermal_v1.9(With%20TradeOff%20and%20Product%20Tree).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Loris%20Franchi\Desktop\Deliverables\Calculation%20Sheets\ESA-ISU_Thermal_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Comm - Uplink"/>
      <sheetName val="Comm - Downlink"/>
      <sheetName val="Comm - Interlink"/>
      <sheetName val="Antenna Design"/>
      <sheetName val="ESA Ground Systems"/>
      <sheetName val="Cubesat Components"/>
      <sheetName val="Constants"/>
    </sheetNames>
    <sheetDataSet>
      <sheetData sheetId="0"/>
      <sheetData sheetId="1"/>
      <sheetData sheetId="2"/>
      <sheetData sheetId="3"/>
      <sheetData sheetId="4">
        <row r="30">
          <cell r="D30">
            <v>2.5</v>
          </cell>
        </row>
      </sheetData>
      <sheetData sheetId="5"/>
      <sheetData sheetId="6"/>
      <sheetData sheetId="7"/>
      <sheetData sheetId="8"/>
      <sheetData sheetId="9">
        <row r="1">
          <cell r="B1">
            <v>299792458</v>
          </cell>
        </row>
        <row r="3">
          <cell r="B3">
            <v>1.3806580000000001E-23</v>
          </cell>
        </row>
        <row r="11">
          <cell r="B11">
            <v>6378.1369999999997</v>
          </cell>
        </row>
        <row r="18">
          <cell r="B18">
            <v>6378.1369999999997</v>
          </cell>
        </row>
        <row r="37">
          <cell r="B37">
            <v>290</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Comm - Uplink"/>
      <sheetName val="Comm - Downlink"/>
      <sheetName val="Comm - Interlink"/>
      <sheetName val="Modes"/>
      <sheetName val="ESA Ground Systems"/>
      <sheetName val="Trade_off"/>
      <sheetName val="ProductTreeMain"/>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
          <cell r="B1">
            <v>299792458</v>
          </cell>
        </row>
        <row r="3">
          <cell r="B3">
            <v>1.3806580000000001E-23</v>
          </cell>
        </row>
        <row r="11">
          <cell r="B11">
            <v>6378.1369999999997</v>
          </cell>
        </row>
        <row r="18">
          <cell r="B18">
            <v>6378.1369999999997</v>
          </cell>
        </row>
        <row r="37">
          <cell r="B37">
            <v>290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3">
          <cell r="B3">
            <v>1.3806580000000001E-23</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row r="11">
          <cell r="B11">
            <v>6378.1369999999997</v>
          </cell>
        </row>
        <row r="12">
          <cell r="B12">
            <v>398600.44179999997</v>
          </cell>
        </row>
        <row r="18">
          <cell r="B18">
            <v>6378.1369999999997</v>
          </cell>
        </row>
        <row r="28">
          <cell r="B28">
            <v>7960000000000000</v>
          </cell>
        </row>
        <row r="33">
          <cell r="B33">
            <v>1367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Objectives"/>
      <sheetName val="Attitude Control - Torques"/>
      <sheetName val="Modes"/>
      <sheetName val="Attitude Control - Sizing"/>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ow r="20">
          <cell r="Q20">
            <v>0.2</v>
          </cell>
        </row>
        <row r="30">
          <cell r="Q30">
            <v>0.5</v>
          </cell>
        </row>
        <row r="66">
          <cell r="Q66">
            <v>0</v>
          </cell>
        </row>
      </sheetData>
      <sheetData sheetId="7" refreshError="1"/>
      <sheetData sheetId="8" refreshError="1"/>
      <sheetData sheetId="9">
        <row r="1">
          <cell r="B1">
            <v>299792458</v>
          </cell>
        </row>
        <row r="11">
          <cell r="B11">
            <v>6378.1369999999997</v>
          </cell>
        </row>
        <row r="12">
          <cell r="B12">
            <v>398600.44179999997</v>
          </cell>
        </row>
        <row r="33">
          <cell r="B33">
            <v>1367</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Db"/>
      <sheetName val="Constants"/>
      <sheetName val="M(H,i)"/>
      <sheetName val="ESA-ISU_Mission_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9">
          <cell r="B9">
            <v>149600016.456</v>
          </cell>
        </row>
      </sheetData>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Db"/>
      <sheetName val="Constants"/>
      <sheetName val="M(H,i)"/>
      <sheetName val="ESA-ISU_Mission_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9">
          <cell r="B9">
            <v>149600016.456</v>
          </cell>
        </row>
      </sheetData>
      <sheetData sheetId="23" refreshError="1"/>
      <sheetData sheetId="2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Db"/>
      <sheetName val="Constants"/>
      <sheetName val="M(H,i)"/>
      <sheetName val="ESA-ISU_Mission_v2"/>
      <sheetName val="Objectiv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B7">
            <v>132700000000</v>
          </cell>
        </row>
        <row r="9">
          <cell r="B9">
            <v>149600016.456</v>
          </cell>
        </row>
      </sheetData>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11">
          <cell r="B11">
            <v>6378.1369999999997</v>
          </cell>
        </row>
        <row r="12">
          <cell r="B12">
            <v>398600.44179999997</v>
          </cell>
        </row>
        <row r="40">
          <cell r="B40">
            <v>57.2958</v>
          </cell>
        </row>
      </sheetData>
      <sheetData sheetId="2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row r="6">
          <cell r="I6">
            <v>175.17995263503801</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sheetData>
      <sheetData sheetId="10"/>
      <sheetData sheetId="1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1.xml"/></Relationships>
</file>

<file path=xl/worksheets/_rels/sheet6.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3.vml"/><Relationship Id="rId7" Type="http://schemas.openxmlformats.org/officeDocument/2006/relationships/ctrlProp" Target="../ctrlProps/ctrlProp9.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omments" Target="../comments3.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8.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s://www.amsat.org/tools-for-calculating-spacecraft-communications-link-budgets-and-other-design-issues/" TargetMode="External"/><Relationship Id="rId2" Type="http://schemas.openxmlformats.org/officeDocument/2006/relationships/hyperlink" Target="http://www.amsatuk.me.uk/iaru/AMSAT-IARU_Basic%20Analog%20Transponder%20Link_Budget_Rev1.6.xlsx" TargetMode="External"/><Relationship Id="rId1" Type="http://schemas.openxmlformats.org/officeDocument/2006/relationships/hyperlink" Target="http://www.amsatuk.me.uk/iaru/AMSAT-IARU_Link_Model_Rev2.5.5.xls" TargetMode="External"/><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
  <sheetViews>
    <sheetView workbookViewId="0">
      <selection activeCell="J42" sqref="J42"/>
    </sheetView>
  </sheetViews>
  <sheetFormatPr defaultColWidth="9.29296875" defaultRowHeight="12.6"/>
  <cols>
    <col min="1" max="16384" width="9.29296875" style="1"/>
  </cols>
  <sheetData/>
  <phoneticPr fontId="0" type="noConversion"/>
  <pageMargins left="0.75" right="0.75" top="1" bottom="1" header="0.5" footer="0.5"/>
  <pageSetup paperSize="9" orientation="portrait" horizontalDpi="300" verticalDpi="300" r:id="rId1"/>
  <headerFooter alignWithMargins="0"/>
  <drawing r:id="rId2"/>
  <legacyDrawing r:id="rId3"/>
  <oleObjects>
    <mc:AlternateContent xmlns:mc="http://schemas.openxmlformats.org/markup-compatibility/2006">
      <mc:Choice Requires="x14">
        <oleObject progId="AcroExch.Document.7" shapeId="37889" r:id="rId4">
          <objectPr defaultSize="0" r:id="rId5">
            <anchor moveWithCells="1">
              <from>
                <xdr:col>3</xdr:col>
                <xdr:colOff>19050</xdr:colOff>
                <xdr:row>3</xdr:row>
                <xdr:rowOff>11430</xdr:rowOff>
              </from>
              <to>
                <xdr:col>17</xdr:col>
                <xdr:colOff>95250</xdr:colOff>
                <xdr:row>39</xdr:row>
                <xdr:rowOff>11430</xdr:rowOff>
              </to>
            </anchor>
          </objectPr>
        </oleObject>
      </mc:Choice>
      <mc:Fallback>
        <oleObject progId="AcroExch.Document.7" shapeId="37889"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
  <sheetViews>
    <sheetView showGridLines="0" tabSelected="1" zoomScale="70" zoomScaleNormal="70" workbookViewId="0"/>
  </sheetViews>
  <sheetFormatPr defaultRowHeight="12.6"/>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F10"/>
  <sheetViews>
    <sheetView workbookViewId="0">
      <selection activeCell="E11" sqref="E11"/>
    </sheetView>
  </sheetViews>
  <sheetFormatPr defaultRowHeight="12.6"/>
  <cols>
    <col min="1" max="1" width="11.703125" bestFit="1" customWidth="1"/>
    <col min="2" max="2" width="7.17578125" bestFit="1" customWidth="1"/>
    <col min="3" max="3" width="16.17578125" bestFit="1" customWidth="1"/>
    <col min="4" max="4" width="16.29296875" bestFit="1" customWidth="1"/>
    <col min="5" max="5" width="87" bestFit="1" customWidth="1"/>
    <col min="6" max="6" width="25.17578125" bestFit="1" customWidth="1"/>
  </cols>
  <sheetData>
    <row r="1" spans="1:6" ht="20.399999999999999" thickBot="1">
      <c r="A1" s="370" t="s">
        <v>352</v>
      </c>
      <c r="B1" s="370" t="s">
        <v>353</v>
      </c>
      <c r="C1" s="370" t="s">
        <v>354</v>
      </c>
      <c r="D1" s="370" t="s">
        <v>355</v>
      </c>
      <c r="E1" s="370" t="s">
        <v>356</v>
      </c>
      <c r="F1" s="371" t="s">
        <v>357</v>
      </c>
    </row>
    <row r="2" spans="1:6">
      <c r="A2" t="s">
        <v>358</v>
      </c>
      <c r="E2" t="s">
        <v>375</v>
      </c>
    </row>
    <row r="3" spans="1:6">
      <c r="A3" t="s">
        <v>358</v>
      </c>
      <c r="E3" t="s">
        <v>376</v>
      </c>
    </row>
    <row r="4" spans="1:6">
      <c r="A4" t="s">
        <v>358</v>
      </c>
      <c r="E4" t="s">
        <v>378</v>
      </c>
    </row>
    <row r="5" spans="1:6">
      <c r="A5" t="s">
        <v>358</v>
      </c>
      <c r="E5" t="s">
        <v>366</v>
      </c>
    </row>
    <row r="6" spans="1:6">
      <c r="A6" t="s">
        <v>358</v>
      </c>
      <c r="E6" t="s">
        <v>377</v>
      </c>
    </row>
    <row r="7" spans="1:6">
      <c r="A7" t="s">
        <v>358</v>
      </c>
      <c r="E7" t="s">
        <v>367</v>
      </c>
    </row>
    <row r="8" spans="1:6">
      <c r="A8" t="s">
        <v>358</v>
      </c>
      <c r="E8" t="s">
        <v>374</v>
      </c>
    </row>
    <row r="9" spans="1:6">
      <c r="A9" t="s">
        <v>358</v>
      </c>
      <c r="E9" t="s">
        <v>457</v>
      </c>
    </row>
    <row r="10" spans="1:6">
      <c r="E10" t="s">
        <v>460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
  <sheetViews>
    <sheetView showGridLines="0" zoomScale="70" zoomScaleNormal="70" workbookViewId="0">
      <selection activeCell="W27" sqref="W27"/>
    </sheetView>
  </sheetViews>
  <sheetFormatPr defaultRowHeight="12.6"/>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1">
    <tabColor theme="3" tint="0.39997558519241921"/>
    <pageSetUpPr fitToPage="1"/>
  </sheetPr>
  <dimension ref="A1:W77"/>
  <sheetViews>
    <sheetView topLeftCell="I1" zoomScaleNormal="100" zoomScaleSheetLayoutView="70" workbookViewId="0">
      <selection activeCell="O11" sqref="O11"/>
    </sheetView>
  </sheetViews>
  <sheetFormatPr defaultColWidth="9.29296875" defaultRowHeight="12.6"/>
  <cols>
    <col min="1" max="1" width="7" style="2" customWidth="1"/>
    <col min="2" max="2" width="2.8203125" style="2" customWidth="1"/>
    <col min="3" max="3" width="28.8203125" style="2" customWidth="1"/>
    <col min="4" max="5" width="10.8203125" style="2" customWidth="1"/>
    <col min="6" max="6" width="8.29296875" style="3" bestFit="1" customWidth="1"/>
    <col min="7" max="8" width="8.29296875" style="2" bestFit="1" customWidth="1"/>
    <col min="9" max="9" width="33.703125" style="2" bestFit="1" customWidth="1"/>
    <col min="10" max="10" width="17.703125" style="2" bestFit="1" customWidth="1"/>
    <col min="11" max="11" width="20.703125" style="2" bestFit="1" customWidth="1"/>
    <col min="12" max="12" width="5.8203125" style="3" customWidth="1"/>
    <col min="13" max="13" width="4.8203125" style="3" customWidth="1"/>
    <col min="14" max="14" width="2.8203125" style="2" customWidth="1"/>
    <col min="15" max="15" width="28.29296875" style="2" customWidth="1"/>
    <col min="16" max="17" width="11.8203125" style="2" customWidth="1"/>
    <col min="18" max="18" width="5.8203125" style="4" customWidth="1"/>
    <col min="19" max="21" width="9.29296875" style="2"/>
    <col min="22" max="22" width="19" style="2" bestFit="1" customWidth="1"/>
    <col min="23" max="16384" width="9.29296875" style="2"/>
  </cols>
  <sheetData>
    <row r="1" spans="1:23" ht="36" customHeight="1">
      <c r="A1" s="10"/>
      <c r="B1" s="5"/>
      <c r="C1" s="6"/>
      <c r="D1" s="7"/>
      <c r="E1" s="7"/>
      <c r="F1" s="7"/>
      <c r="G1" s="7"/>
      <c r="H1" s="7"/>
      <c r="I1" s="7"/>
      <c r="J1" s="7"/>
      <c r="K1" s="7"/>
      <c r="L1" s="8" t="s">
        <v>7</v>
      </c>
      <c r="M1" s="8"/>
      <c r="N1" s="9"/>
      <c r="O1" s="9"/>
      <c r="P1" s="9"/>
      <c r="Q1" s="9"/>
      <c r="R1" s="8"/>
      <c r="S1" s="10"/>
    </row>
    <row r="2" spans="1:23" ht="15.3">
      <c r="A2" s="10"/>
      <c r="B2" s="10"/>
      <c r="C2" s="143" t="s">
        <v>171</v>
      </c>
      <c r="D2" s="104" t="s">
        <v>178</v>
      </c>
      <c r="E2" s="10"/>
      <c r="F2" s="10"/>
      <c r="G2" s="10"/>
      <c r="H2" s="10"/>
      <c r="I2" s="10"/>
      <c r="J2" s="10"/>
      <c r="K2" s="10"/>
      <c r="L2" s="10"/>
      <c r="M2" s="10"/>
      <c r="N2" s="10"/>
      <c r="O2" s="10"/>
      <c r="P2" s="10"/>
      <c r="Q2" s="10"/>
      <c r="R2" s="10"/>
      <c r="S2" s="10"/>
    </row>
    <row r="3" spans="1:23" ht="18.75" customHeight="1" thickBot="1">
      <c r="A3" s="522" t="s">
        <v>165</v>
      </c>
      <c r="B3" s="523"/>
      <c r="C3" s="523"/>
      <c r="D3" s="523"/>
      <c r="E3" s="523"/>
      <c r="F3" s="523"/>
      <c r="G3" s="523"/>
      <c r="H3" s="523"/>
      <c r="I3" s="523"/>
      <c r="J3" s="523"/>
      <c r="K3" s="523"/>
      <c r="L3" s="523"/>
      <c r="M3" s="523"/>
      <c r="N3" s="523"/>
      <c r="O3" s="523"/>
      <c r="P3" s="523"/>
      <c r="Q3" s="523"/>
      <c r="R3" s="523"/>
      <c r="S3" s="523"/>
    </row>
    <row r="4" spans="1:23" ht="13.5" customHeight="1" thickTop="1">
      <c r="A4" s="10"/>
      <c r="B4" s="59"/>
      <c r="C4" s="524" t="s">
        <v>17</v>
      </c>
      <c r="D4" s="525"/>
      <c r="E4" s="525"/>
      <c r="F4" s="526"/>
      <c r="G4" s="10"/>
      <c r="H4" s="59"/>
      <c r="I4" s="527" t="s">
        <v>18</v>
      </c>
      <c r="J4" s="528"/>
      <c r="K4" s="528"/>
      <c r="L4" s="529"/>
      <c r="M4" s="39"/>
      <c r="N4" s="59"/>
      <c r="O4" s="530" t="s">
        <v>19</v>
      </c>
      <c r="P4" s="531"/>
      <c r="Q4" s="531"/>
      <c r="R4" s="532"/>
      <c r="S4" s="10"/>
    </row>
    <row r="5" spans="1:23" ht="13.5" customHeight="1">
      <c r="A5" s="10"/>
      <c r="B5" s="59"/>
      <c r="C5" s="128"/>
      <c r="D5" s="32"/>
      <c r="E5" s="32"/>
      <c r="F5" s="129"/>
      <c r="G5" s="10"/>
      <c r="H5" s="59"/>
      <c r="I5" s="33" t="s">
        <v>304</v>
      </c>
      <c r="J5" s="26" t="s">
        <v>222</v>
      </c>
      <c r="K5" s="27"/>
      <c r="L5" s="34"/>
      <c r="M5" s="39"/>
      <c r="N5" s="59"/>
      <c r="O5" s="139"/>
      <c r="P5" s="20"/>
      <c r="Q5" s="19"/>
      <c r="R5" s="109"/>
      <c r="S5" s="10"/>
    </row>
    <row r="6" spans="1:23" ht="13.5" customHeight="1">
      <c r="A6" s="10"/>
      <c r="B6" s="59"/>
      <c r="C6" s="545" t="s">
        <v>166</v>
      </c>
      <c r="D6" s="546"/>
      <c r="E6" s="546"/>
      <c r="F6" s="547"/>
      <c r="G6" s="10"/>
      <c r="H6" s="59"/>
      <c r="I6" s="533" t="s">
        <v>167</v>
      </c>
      <c r="J6" s="534"/>
      <c r="K6" s="534"/>
      <c r="L6" s="535"/>
      <c r="M6" s="39"/>
      <c r="N6" s="59"/>
      <c r="O6" s="536" t="s">
        <v>166</v>
      </c>
      <c r="P6" s="537"/>
      <c r="Q6" s="537"/>
      <c r="R6" s="538"/>
      <c r="S6" s="10"/>
    </row>
    <row r="7" spans="1:23" ht="13.5" customHeight="1">
      <c r="A7" s="10"/>
      <c r="B7" s="59"/>
      <c r="C7" s="130" t="s">
        <v>20</v>
      </c>
      <c r="D7" s="156"/>
      <c r="E7" s="14">
        <f>IF(E8&lt;&gt;"",10^(E8/10),"")</f>
        <v>10000</v>
      </c>
      <c r="F7" s="118" t="s">
        <v>21</v>
      </c>
      <c r="G7" s="10"/>
      <c r="H7" s="59"/>
      <c r="I7" s="144" t="s">
        <v>0</v>
      </c>
      <c r="J7" s="145" t="s">
        <v>174</v>
      </c>
      <c r="K7" s="149">
        <v>500</v>
      </c>
      <c r="L7" s="154" t="s">
        <v>1</v>
      </c>
      <c r="M7" s="39"/>
      <c r="N7" s="59"/>
      <c r="O7" s="140" t="s">
        <v>23</v>
      </c>
      <c r="P7" s="156"/>
      <c r="Q7" s="22">
        <f>IF(P7&lt;&gt;"",P7,0.55)</f>
        <v>0.55000000000000004</v>
      </c>
      <c r="R7" s="109"/>
      <c r="S7" s="10"/>
    </row>
    <row r="8" spans="1:23" ht="13.5" customHeight="1">
      <c r="A8" s="10"/>
      <c r="B8" s="59"/>
      <c r="C8" s="130" t="s">
        <v>20</v>
      </c>
      <c r="D8" s="156">
        <v>40</v>
      </c>
      <c r="E8" s="14">
        <f>IF(AND(D14&lt;&gt;"",E12&lt;&gt;""),D14-E9-E12,IF(D8&lt;&gt;"",D8,IF(D7&lt;&gt;"",10*LOG10(D7),"")))</f>
        <v>40</v>
      </c>
      <c r="F8" s="118" t="s">
        <v>16</v>
      </c>
      <c r="G8" s="10"/>
      <c r="H8" s="59"/>
      <c r="I8" s="147" t="s">
        <v>458</v>
      </c>
      <c r="J8" s="145" t="s">
        <v>175</v>
      </c>
      <c r="K8" s="149"/>
      <c r="L8" s="154" t="s">
        <v>1</v>
      </c>
      <c r="M8" s="39"/>
      <c r="N8" s="59"/>
      <c r="O8" s="140" t="s">
        <v>26</v>
      </c>
      <c r="P8" s="156">
        <v>2</v>
      </c>
      <c r="Q8" s="23">
        <v>2</v>
      </c>
      <c r="R8" s="109" t="s">
        <v>14</v>
      </c>
      <c r="S8" s="10"/>
    </row>
    <row r="9" spans="1:23" ht="13.5" customHeight="1">
      <c r="A9" s="10"/>
      <c r="B9" s="59"/>
      <c r="C9" s="130" t="s">
        <v>27</v>
      </c>
      <c r="D9" s="156"/>
      <c r="E9" s="14">
        <f>IF(D9&lt;&gt;"",IF(D9&lt;=0,D9,-D9),-3)</f>
        <v>-3</v>
      </c>
      <c r="F9" s="118" t="s">
        <v>16</v>
      </c>
      <c r="G9" s="10"/>
      <c r="H9" s="59"/>
      <c r="I9" s="144" t="s">
        <v>2</v>
      </c>
      <c r="J9" s="145" t="s">
        <v>177</v>
      </c>
      <c r="K9" s="149">
        <v>3</v>
      </c>
      <c r="L9" s="154" t="s">
        <v>25</v>
      </c>
      <c r="M9" s="39"/>
      <c r="N9" s="59"/>
      <c r="O9" s="140" t="s">
        <v>29</v>
      </c>
      <c r="P9" s="156"/>
      <c r="Q9" s="23">
        <f>IF(AND($E$25&lt;&gt;"",OR(P10&lt;&gt;"",P8&lt;&gt;"")),10*LOG10(PI()^2*Q8^2*Q7/$E$25^2),IF(P9&lt;&gt;"",P9,IF(AND(P15&lt;&gt;"",P14&lt;&gt;"",K22&lt;&gt;""),Q15+10*LOG10(P14+K22),IF(AND(P15&lt;&gt;"",P14&lt;&gt;""),P15+10*LOG10(P14),""))))</f>
        <v>41.332035471380195</v>
      </c>
      <c r="R9" s="109" t="s">
        <v>16</v>
      </c>
      <c r="S9" s="10"/>
    </row>
    <row r="10" spans="1:23" ht="13.5" customHeight="1">
      <c r="A10" s="10"/>
      <c r="B10" s="59"/>
      <c r="C10" s="130" t="s">
        <v>23</v>
      </c>
      <c r="D10" s="369">
        <v>0.55000000000000004</v>
      </c>
      <c r="E10" s="13">
        <f>IF(D10&lt;&gt;"",D10,0.55)</f>
        <v>0.55000000000000004</v>
      </c>
      <c r="F10" s="118"/>
      <c r="G10" s="10"/>
      <c r="H10" s="59"/>
      <c r="I10" s="144" t="s">
        <v>3</v>
      </c>
      <c r="J10" s="146" t="s">
        <v>179</v>
      </c>
      <c r="K10" s="149"/>
      <c r="L10" s="154" t="s">
        <v>25</v>
      </c>
      <c r="M10" s="39"/>
      <c r="N10" s="59"/>
      <c r="O10" s="140" t="s">
        <v>31</v>
      </c>
      <c r="P10" s="156"/>
      <c r="Q10" s="23">
        <f>IF(P10&lt;&gt;"",P10,IF($E$24="","",IF(P8&lt;&gt;"",21/$E$24/P8,IF(Q9&lt;&gt;"",21/$E$24/SQRT(10^(Q9/10)*$E$25^2/PI()^2/Q7),""))))</f>
        <v>1.4</v>
      </c>
      <c r="R10" s="109" t="s">
        <v>25</v>
      </c>
      <c r="S10" s="10"/>
    </row>
    <row r="11" spans="1:23" ht="13.5" customHeight="1">
      <c r="A11" s="10"/>
      <c r="B11" s="59"/>
      <c r="C11" s="117" t="s">
        <v>26</v>
      </c>
      <c r="D11" s="156"/>
      <c r="E11" s="14" t="str">
        <f>IF(AND(D13&lt;&gt;"",$E$24&lt;&gt;""),21/$E$24/D13,IF(D11&lt;&gt;"",D11,IF(AND(E12&lt;&gt;"",E25&lt;&gt;""),SQRT(10^(E12/10)*$E$25^2/PI()^2/E10),"")))</f>
        <v/>
      </c>
      <c r="F11" s="118" t="s">
        <v>14</v>
      </c>
      <c r="G11" s="10"/>
      <c r="H11" s="59"/>
      <c r="I11" s="71"/>
      <c r="J11" s="26"/>
      <c r="K11" s="27"/>
      <c r="L11" s="34"/>
      <c r="M11" s="39"/>
      <c r="N11" s="59"/>
      <c r="O11" s="140" t="s">
        <v>34</v>
      </c>
      <c r="P11" s="378">
        <v>0.1</v>
      </c>
      <c r="Q11" s="24">
        <f>IF(P11&lt;&gt;"",P11,"")</f>
        <v>0.1</v>
      </c>
      <c r="R11" s="109" t="s">
        <v>25</v>
      </c>
      <c r="S11" s="10"/>
    </row>
    <row r="12" spans="1:23" ht="13.5" customHeight="1">
      <c r="A12" s="10"/>
      <c r="B12" s="59"/>
      <c r="C12" s="130" t="s">
        <v>29</v>
      </c>
      <c r="D12" s="156"/>
      <c r="E12" s="14" t="str">
        <f>IF(AND($E$25&lt;&gt;"",OR(D13&lt;&gt;"",D11&lt;&gt;"")),10*LOG10(PI()^2*E11^2*E10/$E$25^2),IF(D12&lt;&gt;"",D12,IF(AND(D14&lt;&gt;"",D8&lt;&gt;""),D14-D8-E9,"")))</f>
        <v/>
      </c>
      <c r="F12" s="118" t="s">
        <v>16</v>
      </c>
      <c r="G12" s="10"/>
      <c r="H12" s="59"/>
      <c r="I12" s="563" t="s">
        <v>166</v>
      </c>
      <c r="J12" s="564"/>
      <c r="K12" s="564"/>
      <c r="L12" s="565"/>
      <c r="M12" s="39"/>
      <c r="N12" s="59"/>
      <c r="O12" s="140" t="s">
        <v>35</v>
      </c>
      <c r="P12" s="21"/>
      <c r="Q12" s="23">
        <f>IF(AND(Q11&lt;&gt;"",Q10&lt;&gt;""),-12*(Q11/Q10)^2,"")</f>
        <v>-6.122448979591838E-2</v>
      </c>
      <c r="R12" s="109" t="s">
        <v>16</v>
      </c>
      <c r="S12" s="10"/>
    </row>
    <row r="13" spans="1:23" ht="13.5" customHeight="1">
      <c r="A13" s="10"/>
      <c r="B13" s="10"/>
      <c r="C13" s="130" t="s">
        <v>31</v>
      </c>
      <c r="D13" s="156"/>
      <c r="E13" s="14" t="str">
        <f>IF(D13&lt;&gt;"",D13,IF($E$24="","",IF(D11&lt;&gt;"",21/$E$24/D11,IF(E12&lt;&gt;"",21/$E$24/SQRT(10^(E12/10)*$E$25^2/PI()^2/E10),""))))</f>
        <v/>
      </c>
      <c r="F13" s="118" t="s">
        <v>25</v>
      </c>
      <c r="G13" s="10"/>
      <c r="H13" s="10"/>
      <c r="I13" s="71" t="str">
        <f>IF(J5="Earth", "Altitude","Slant Range")</f>
        <v>Altitude</v>
      </c>
      <c r="J13" s="156">
        <v>300</v>
      </c>
      <c r="K13" s="329">
        <f>IF(J13&lt;&gt;"",J13,IF(J5="Earth",IF(AND(K7&lt;&gt;"",K7&lt;&gt;"Ellipse"),K7,IF(K8&lt;&gt;"",K8,"")),ABS(Constants!L32-VLOOKUP('Comm - Uplink'!J5,Constants!K29:U39,2,FALSE))*149597871))</f>
        <v>300</v>
      </c>
      <c r="L13" s="34" t="s">
        <v>1</v>
      </c>
      <c r="M13" s="39"/>
      <c r="N13" s="10"/>
      <c r="O13" s="140"/>
      <c r="P13" s="21"/>
      <c r="Q13" s="25"/>
      <c r="R13" s="109"/>
      <c r="S13" s="10"/>
      <c r="V13" s="388" t="s">
        <v>159</v>
      </c>
      <c r="W13" s="388">
        <v>1.5</v>
      </c>
    </row>
    <row r="14" spans="1:23" ht="13.5" customHeight="1">
      <c r="A14" s="10"/>
      <c r="B14" s="10"/>
      <c r="C14" s="130" t="s">
        <v>36</v>
      </c>
      <c r="D14" s="156"/>
      <c r="E14" s="14" t="str">
        <f>IF(D14&lt;&gt;"",D14,IF(AND(E8&lt;&gt;"",E9&lt;&gt;"",E12&lt;&gt;""),E8+E9+E12,""))</f>
        <v/>
      </c>
      <c r="F14" s="118" t="s">
        <v>16</v>
      </c>
      <c r="G14" s="10"/>
      <c r="H14" s="10"/>
      <c r="I14" s="35" t="s">
        <v>24</v>
      </c>
      <c r="J14" s="30"/>
      <c r="K14" s="31">
        <f>IF(K13&lt;&gt;"",ASIN(Earth_Radius/(Earth_Radius+K13))*180/PI(),"")</f>
        <v>72.761083715997529</v>
      </c>
      <c r="L14" s="34" t="s">
        <v>25</v>
      </c>
      <c r="M14" s="39"/>
      <c r="N14" s="10"/>
      <c r="O14" s="140" t="s">
        <v>39</v>
      </c>
      <c r="P14" s="156"/>
      <c r="Q14" s="23">
        <f>IF(AND(P15&lt;&gt;"",K22&lt;&gt;"",Q9&lt;&gt;""),10^((Q9-P15)/10)-K22,IF(AND(P15&lt;&gt;"",Q9&lt;&gt;""),10^((Q9-P15)/10),IF(P14&lt;&gt;"",P14,688)))</f>
        <v>688</v>
      </c>
      <c r="R14" s="109" t="s">
        <v>40</v>
      </c>
      <c r="S14" s="10"/>
      <c r="V14" s="388" t="s">
        <v>160</v>
      </c>
      <c r="W14" s="388">
        <v>2.5</v>
      </c>
    </row>
    <row r="15" spans="1:23" ht="13.5" customHeight="1">
      <c r="A15" s="10"/>
      <c r="B15" s="10"/>
      <c r="C15" s="130"/>
      <c r="D15" s="12"/>
      <c r="E15" s="12"/>
      <c r="F15" s="131"/>
      <c r="G15" s="10"/>
      <c r="H15" s="10"/>
      <c r="I15" s="35" t="s">
        <v>28</v>
      </c>
      <c r="J15" s="156"/>
      <c r="K15" s="31">
        <f>IF(J15&lt;&gt;"",J15,IF(K9&lt;&gt;"",K9,IF(OR(J16&lt;&gt;"",K10&lt;&gt;""),ACOS(SIN(J16*PI()/180)/SIN(K14*PI()/180))*180/PI(),"")))</f>
        <v>3</v>
      </c>
      <c r="L15" s="34" t="s">
        <v>25</v>
      </c>
      <c r="M15" s="39"/>
      <c r="N15" s="10"/>
      <c r="O15" s="140" t="s">
        <v>42</v>
      </c>
      <c r="P15" s="156"/>
      <c r="Q15" s="23">
        <f>IF(P15&lt;&gt;"",P15,IF(AND(K22&lt;&gt;"",Q9&lt;&gt;"",Q14&lt;&gt;""),Q9-10*LOG10(Q14+K22),""))</f>
        <v>12.328241982618891</v>
      </c>
      <c r="R15" s="109" t="s">
        <v>16</v>
      </c>
      <c r="S15" s="10"/>
      <c r="V15" s="388" t="s">
        <v>161</v>
      </c>
      <c r="W15" s="388">
        <v>4</v>
      </c>
    </row>
    <row r="16" spans="1:23" ht="13.5" customHeight="1">
      <c r="A16" s="10"/>
      <c r="B16" s="10"/>
      <c r="C16" s="130" t="s">
        <v>34</v>
      </c>
      <c r="D16" s="156"/>
      <c r="E16" s="14" t="str">
        <f>IF(D16&lt;&gt;"",D16,IF(E13&lt;&gt;"",0.1*E13,""))</f>
        <v/>
      </c>
      <c r="F16" s="118" t="s">
        <v>25</v>
      </c>
      <c r="G16" s="10"/>
      <c r="H16" s="10"/>
      <c r="I16" s="35" t="s">
        <v>30</v>
      </c>
      <c r="J16" s="156"/>
      <c r="K16" s="31">
        <f>IF(J16&lt;&gt;"",J16,IF(K10&lt;&gt;"",K10,IF(OR(J15&lt;&gt;"",K9&lt;&gt;""),ASIN(COS(K15*PI()/180)*SIN(K14*PI()/180))*180/PI(),"")))</f>
        <v>72.509804066712704</v>
      </c>
      <c r="L16" s="34" t="s">
        <v>25</v>
      </c>
      <c r="M16" s="40"/>
      <c r="N16" s="10"/>
      <c r="O16" s="108" t="s">
        <v>365</v>
      </c>
      <c r="P16" s="156"/>
      <c r="Q16" s="379" t="e">
        <f>(10^(K28/10)*(10^((K30+K31)/10)))/(4*PI()*(K18*1000)^2)</f>
        <v>#VALUE!</v>
      </c>
      <c r="R16" s="109"/>
      <c r="S16" s="10"/>
      <c r="V16" s="388" t="s">
        <v>162</v>
      </c>
      <c r="W16" s="388">
        <v>7.5</v>
      </c>
    </row>
    <row r="17" spans="1:23" ht="13.5" customHeight="1" thickBot="1">
      <c r="A17" s="10"/>
      <c r="B17" s="10"/>
      <c r="C17" s="130" t="s">
        <v>35</v>
      </c>
      <c r="D17" s="12"/>
      <c r="E17" s="14" t="str">
        <f>IF(AND(E16&lt;&gt;"",E13&lt;&gt;""),-12*(E16/E13)^2,"")</f>
        <v/>
      </c>
      <c r="F17" s="118" t="s">
        <v>16</v>
      </c>
      <c r="G17" s="10"/>
      <c r="H17" s="10"/>
      <c r="I17" s="35" t="s">
        <v>32</v>
      </c>
      <c r="J17" s="30"/>
      <c r="K17" s="31">
        <f>IF(AND(K15&lt;&gt;"",K16&lt;&gt;""),90-K15-K16,"")</f>
        <v>14.490195933287296</v>
      </c>
      <c r="L17" s="34" t="s">
        <v>25</v>
      </c>
      <c r="M17" s="40"/>
      <c r="N17" s="10"/>
      <c r="O17" s="111" t="s">
        <v>364</v>
      </c>
      <c r="P17" s="141"/>
      <c r="Q17" s="380" t="e">
        <f>Q16*((PI()*Q8^2)/4)*Q7</f>
        <v>#VALUE!</v>
      </c>
      <c r="R17" s="142"/>
      <c r="S17" s="10"/>
      <c r="V17" s="388" t="s">
        <v>163</v>
      </c>
      <c r="W17" s="388">
        <v>12.5</v>
      </c>
    </row>
    <row r="18" spans="1:23" ht="13.5" customHeight="1" thickTop="1" thickBot="1">
      <c r="A18" s="10"/>
      <c r="B18" s="10"/>
      <c r="C18" s="132"/>
      <c r="D18" s="133"/>
      <c r="E18" s="134"/>
      <c r="F18" s="121"/>
      <c r="G18" s="10"/>
      <c r="H18" s="10"/>
      <c r="I18" s="35" t="s">
        <v>33</v>
      </c>
      <c r="J18" s="30"/>
      <c r="K18" s="329">
        <f>IF(AND(K17&lt;&gt;"",K16&lt;&gt;""),Earth_Radius*SIN(K17*PI()/180)/SIN(K16*PI()/180),"")</f>
        <v>1673.2587682183421</v>
      </c>
      <c r="L18" s="34" t="s">
        <v>1</v>
      </c>
      <c r="M18" s="40"/>
      <c r="N18" s="10"/>
      <c r="O18" s="10"/>
      <c r="P18" s="10"/>
      <c r="Q18" s="381"/>
      <c r="R18" s="40"/>
      <c r="S18" s="10"/>
      <c r="V18" s="388" t="s">
        <v>164</v>
      </c>
      <c r="W18" s="388">
        <v>19</v>
      </c>
    </row>
    <row r="19" spans="1:23" ht="13.5" customHeight="1" thickTop="1" thickBot="1">
      <c r="A19" s="10"/>
      <c r="B19" s="10"/>
      <c r="C19" s="10"/>
      <c r="D19" s="10"/>
      <c r="E19" s="10"/>
      <c r="F19" s="39"/>
      <c r="G19" s="10"/>
      <c r="H19" s="10"/>
      <c r="I19" s="35"/>
      <c r="J19" s="30"/>
      <c r="K19" s="27"/>
      <c r="L19" s="34"/>
      <c r="M19" s="59"/>
      <c r="N19" s="10"/>
      <c r="O19" s="557" t="s">
        <v>44</v>
      </c>
      <c r="P19" s="558"/>
      <c r="Q19" s="558"/>
      <c r="R19" s="559"/>
      <c r="S19" s="10"/>
      <c r="V19" s="388" t="s">
        <v>158</v>
      </c>
      <c r="W19" s="388">
        <f>D24</f>
        <v>0</v>
      </c>
    </row>
    <row r="20" spans="1:23" ht="13.5" customHeight="1" thickTop="1">
      <c r="A20" s="10"/>
      <c r="B20" s="10"/>
      <c r="C20" s="560" t="s">
        <v>157</v>
      </c>
      <c r="D20" s="561"/>
      <c r="E20" s="561"/>
      <c r="F20" s="562"/>
      <c r="G20" s="10"/>
      <c r="H20" s="10"/>
      <c r="I20" s="35" t="s">
        <v>37</v>
      </c>
      <c r="J20" s="156"/>
      <c r="K20" s="29">
        <f>IF(J20&lt;&gt;"",IF(J20&lt;=0,J20,-J20),IF(E24&lt;&gt;"",IF(E24&lt;=10,-0.06,IF(E24&lt;=40,-0.6,"")),""))</f>
        <v>-0.06</v>
      </c>
      <c r="L20" s="34" t="s">
        <v>16</v>
      </c>
      <c r="M20" s="40"/>
      <c r="N20" s="10"/>
      <c r="O20" s="135"/>
      <c r="P20" s="11"/>
      <c r="Q20" s="11"/>
      <c r="R20" s="123"/>
      <c r="S20" s="10"/>
    </row>
    <row r="21" spans="1:23" ht="13.5" customHeight="1">
      <c r="A21" s="10"/>
      <c r="B21" s="10"/>
      <c r="C21" s="53"/>
      <c r="D21" s="48"/>
      <c r="E21" s="48"/>
      <c r="F21" s="54"/>
      <c r="G21" s="10"/>
      <c r="H21" s="10"/>
      <c r="I21" s="35" t="s">
        <v>38</v>
      </c>
      <c r="J21" s="156">
        <v>-2</v>
      </c>
      <c r="K21" s="29">
        <f>IF(J21&lt;&gt;"",IF(J21&lt;=0,J21,-J21),IF(E24&lt;&gt;"",IF(E24&lt;=7,0,""),""))</f>
        <v>-2</v>
      </c>
      <c r="L21" s="34" t="s">
        <v>16</v>
      </c>
      <c r="M21" s="40"/>
      <c r="N21" s="10"/>
      <c r="O21" s="551" t="s">
        <v>166</v>
      </c>
      <c r="P21" s="552"/>
      <c r="Q21" s="552"/>
      <c r="R21" s="553"/>
      <c r="S21" s="10"/>
    </row>
    <row r="22" spans="1:23" ht="13.5" customHeight="1">
      <c r="A22" s="10"/>
      <c r="B22" s="10"/>
      <c r="C22" s="542" t="s">
        <v>166</v>
      </c>
      <c r="D22" s="543"/>
      <c r="E22" s="543"/>
      <c r="F22" s="544"/>
      <c r="G22" s="10"/>
      <c r="H22" s="10"/>
      <c r="I22" s="35" t="s">
        <v>41</v>
      </c>
      <c r="J22" s="28"/>
      <c r="K22" s="31">
        <f>IF(K21&lt;&gt;"",Rain_Temp*(1-10^(K21/10)),0)</f>
        <v>107.02237010074396</v>
      </c>
      <c r="L22" s="34" t="s">
        <v>40</v>
      </c>
      <c r="M22" s="40"/>
      <c r="N22" s="10"/>
      <c r="O22" s="135" t="s">
        <v>45</v>
      </c>
      <c r="P22" s="11"/>
      <c r="Q22" s="11"/>
      <c r="R22" s="123"/>
      <c r="S22" s="10"/>
    </row>
    <row r="23" spans="1:23" ht="13.5" customHeight="1" thickBot="1">
      <c r="A23" s="10"/>
      <c r="B23" s="10"/>
      <c r="C23" s="84" t="s">
        <v>173</v>
      </c>
      <c r="D23" s="70">
        <v>4</v>
      </c>
      <c r="E23" s="48"/>
      <c r="F23" s="54"/>
      <c r="G23" s="10"/>
      <c r="H23" s="10"/>
      <c r="I23" s="36"/>
      <c r="J23" s="37"/>
      <c r="K23" s="37"/>
      <c r="L23" s="38"/>
      <c r="M23" s="39"/>
      <c r="N23" s="10"/>
      <c r="O23" s="135" t="s">
        <v>47</v>
      </c>
      <c r="P23" s="156"/>
      <c r="Q23" s="47">
        <f>IF(P23&lt;&gt;"",P23,IF(Q8&lt;&gt;"",PI()*(Q8/2)^2*10.25,""))</f>
        <v>32.201324699295377</v>
      </c>
      <c r="R23" s="123" t="s">
        <v>48</v>
      </c>
      <c r="S23" s="10"/>
    </row>
    <row r="24" spans="1:23" ht="13.5" customHeight="1" thickTop="1" thickBot="1">
      <c r="A24" s="10"/>
      <c r="B24" s="10"/>
      <c r="C24" s="84" t="s">
        <v>8</v>
      </c>
      <c r="D24" s="156"/>
      <c r="E24" s="49">
        <f>IF(D24&lt;&gt;"",D24,IF(D25&lt;&gt;"",Speed_of_Light/D25/10^9,INDEX(W13:W19,D23)))</f>
        <v>7.5</v>
      </c>
      <c r="F24" s="55" t="s">
        <v>9</v>
      </c>
      <c r="G24" s="10"/>
      <c r="H24" s="10"/>
      <c r="I24" s="10"/>
      <c r="J24" s="10"/>
      <c r="K24" s="10"/>
      <c r="L24" s="39"/>
      <c r="M24" s="39"/>
      <c r="N24" s="10"/>
      <c r="O24" s="135"/>
      <c r="P24" s="11"/>
      <c r="Q24" s="11"/>
      <c r="R24" s="123"/>
      <c r="S24" s="10"/>
    </row>
    <row r="25" spans="1:23" ht="13.5" customHeight="1" thickTop="1">
      <c r="A25" s="10"/>
      <c r="B25" s="10"/>
      <c r="C25" s="53" t="s">
        <v>13</v>
      </c>
      <c r="D25" s="156"/>
      <c r="E25" s="50">
        <f>IF(E24&lt;&gt;"",Speed_of_Light/(E24*10^9),"")</f>
        <v>3.9972327733333333E-2</v>
      </c>
      <c r="F25" s="55" t="s">
        <v>14</v>
      </c>
      <c r="G25" s="10"/>
      <c r="H25" s="10"/>
      <c r="I25" s="554" t="s">
        <v>43</v>
      </c>
      <c r="J25" s="555"/>
      <c r="K25" s="555"/>
      <c r="L25" s="556"/>
      <c r="M25" s="39"/>
      <c r="N25" s="10"/>
      <c r="O25" s="548" t="s">
        <v>168</v>
      </c>
      <c r="P25" s="549"/>
      <c r="Q25" s="549"/>
      <c r="R25" s="550"/>
      <c r="S25" s="10"/>
    </row>
    <row r="26" spans="1:23" ht="13.5" customHeight="1">
      <c r="A26" s="10"/>
      <c r="B26" s="10"/>
      <c r="C26" s="84" t="s">
        <v>309</v>
      </c>
      <c r="D26" s="48"/>
      <c r="E26" s="330" t="s">
        <v>307</v>
      </c>
      <c r="F26" s="55"/>
      <c r="G26" s="10"/>
      <c r="H26" s="10"/>
      <c r="I26" s="41"/>
      <c r="J26" s="17"/>
      <c r="K26" s="17"/>
      <c r="L26" s="42"/>
      <c r="M26" s="39"/>
      <c r="N26" s="10"/>
      <c r="O26" s="136" t="s">
        <v>155</v>
      </c>
      <c r="P26" s="87" t="s">
        <v>172</v>
      </c>
      <c r="Q26" s="151">
        <f>Q23</f>
        <v>32.201324699295377</v>
      </c>
      <c r="R26" s="153" t="s">
        <v>48</v>
      </c>
      <c r="S26" s="10"/>
    </row>
    <row r="27" spans="1:23" ht="13.5" customHeight="1" thickBot="1">
      <c r="A27" s="10"/>
      <c r="B27" s="10"/>
      <c r="C27" s="84"/>
      <c r="D27" s="48"/>
      <c r="E27" s="48"/>
      <c r="F27" s="55"/>
      <c r="G27" s="10"/>
      <c r="H27" s="10"/>
      <c r="I27" s="539" t="s">
        <v>166</v>
      </c>
      <c r="J27" s="540"/>
      <c r="K27" s="540"/>
      <c r="L27" s="541"/>
      <c r="M27" s="39"/>
      <c r="N27" s="10"/>
      <c r="O27" s="137"/>
      <c r="P27" s="138"/>
      <c r="Q27" s="138"/>
      <c r="R27" s="127"/>
      <c r="S27" s="10"/>
    </row>
    <row r="28" spans="1:23" ht="13.5" customHeight="1" thickTop="1">
      <c r="A28" s="10"/>
      <c r="B28" s="10"/>
      <c r="C28" s="53" t="s">
        <v>10</v>
      </c>
      <c r="D28" s="155">
        <v>2</v>
      </c>
      <c r="E28" s="51">
        <f>IF(D28&lt;&gt;"",D28,"")</f>
        <v>2</v>
      </c>
      <c r="F28" s="55" t="s">
        <v>11</v>
      </c>
      <c r="G28" s="10"/>
      <c r="H28" s="10"/>
      <c r="I28" s="41" t="s">
        <v>36</v>
      </c>
      <c r="J28" s="17"/>
      <c r="K28" s="18" t="str">
        <f>IF(E14&lt;&gt;"",E14,"")</f>
        <v/>
      </c>
      <c r="L28" s="43" t="s">
        <v>16</v>
      </c>
      <c r="M28" s="39"/>
      <c r="N28" s="10"/>
      <c r="O28" s="10"/>
      <c r="P28" s="10"/>
      <c r="Q28" s="10"/>
      <c r="R28" s="40"/>
      <c r="S28" s="10"/>
    </row>
    <row r="29" spans="1:23" ht="13.5" customHeight="1">
      <c r="A29" s="10"/>
      <c r="B29" s="10"/>
      <c r="C29" s="53" t="s">
        <v>12</v>
      </c>
      <c r="D29" s="155">
        <v>1E-4</v>
      </c>
      <c r="E29" s="50">
        <f>IF(D29&lt;&gt;"",D29,10^-5)</f>
        <v>1E-4</v>
      </c>
      <c r="F29" s="55"/>
      <c r="G29" s="10"/>
      <c r="H29" s="10"/>
      <c r="I29" s="41" t="s">
        <v>46</v>
      </c>
      <c r="J29" s="17"/>
      <c r="K29" s="18">
        <f>IF(AND(E25&lt;&gt;"",K18&lt;&gt;""),10*LOG10((E25/4/PI()/K18/1000)^2),"")</f>
        <v>-174.42027067918647</v>
      </c>
      <c r="L29" s="43" t="s">
        <v>16</v>
      </c>
      <c r="M29" s="39"/>
      <c r="N29" s="10"/>
      <c r="O29" s="10"/>
      <c r="P29" s="39"/>
      <c r="Q29" s="39"/>
      <c r="R29" s="40"/>
      <c r="S29" s="10"/>
    </row>
    <row r="30" spans="1:23" ht="13.5" customHeight="1">
      <c r="A30" s="10"/>
      <c r="B30" s="10"/>
      <c r="C30" s="53" t="s">
        <v>15</v>
      </c>
      <c r="D30" s="156"/>
      <c r="E30" s="52">
        <f>IF(D30&lt;&gt;"",D30,VLOOKUP(E26,C51:I555,MATCH(E29,C51:I51,0),FALSE))</f>
        <v>13</v>
      </c>
      <c r="F30" s="55" t="s">
        <v>16</v>
      </c>
      <c r="G30" s="10"/>
      <c r="H30" s="10"/>
      <c r="I30" s="41" t="s">
        <v>49</v>
      </c>
      <c r="J30" s="17"/>
      <c r="K30" s="18">
        <f>IF(AND(K15&lt;&gt;"",K20&lt;&gt;""),K20/SIN(K15*PI()/180)-0.3,"")</f>
        <v>-1.4464393565578439</v>
      </c>
      <c r="L30" s="43" t="s">
        <v>16</v>
      </c>
      <c r="M30" s="39"/>
      <c r="N30" s="10"/>
      <c r="O30" s="10"/>
      <c r="P30" s="60"/>
      <c r="Q30" s="60"/>
      <c r="R30" s="40"/>
      <c r="S30" s="10"/>
    </row>
    <row r="31" spans="1:23" ht="13.5" customHeight="1" thickBot="1">
      <c r="A31" s="10"/>
      <c r="B31" s="10"/>
      <c r="C31" s="56"/>
      <c r="D31" s="57"/>
      <c r="E31" s="57"/>
      <c r="F31" s="58"/>
      <c r="G31" s="10"/>
      <c r="H31" s="10"/>
      <c r="I31" s="41" t="s">
        <v>38</v>
      </c>
      <c r="J31" s="17"/>
      <c r="K31" s="18">
        <f>IF(K21&lt;&gt;"",K21,"")</f>
        <v>-2</v>
      </c>
      <c r="L31" s="43" t="s">
        <v>16</v>
      </c>
      <c r="M31" s="39"/>
      <c r="N31" s="10"/>
      <c r="O31" s="10"/>
      <c r="P31" s="60"/>
      <c r="Q31" s="60"/>
      <c r="R31" s="40"/>
      <c r="S31" s="10"/>
    </row>
    <row r="32" spans="1:23" ht="13.5" customHeight="1" thickTop="1">
      <c r="A32" s="10"/>
      <c r="B32" s="10"/>
      <c r="C32" s="10"/>
      <c r="D32" s="10"/>
      <c r="E32" s="10"/>
      <c r="F32" s="39"/>
      <c r="G32" s="40"/>
      <c r="H32" s="10"/>
      <c r="I32" s="41" t="s">
        <v>42</v>
      </c>
      <c r="J32" s="17"/>
      <c r="K32" s="18">
        <f>IF(Q15&lt;&gt;"",Q15,"")</f>
        <v>12.328241982618891</v>
      </c>
      <c r="L32" s="43" t="s">
        <v>16</v>
      </c>
      <c r="M32" s="39"/>
      <c r="N32" s="10"/>
      <c r="O32" s="10"/>
      <c r="P32" s="60"/>
      <c r="Q32" s="60"/>
      <c r="R32" s="40"/>
      <c r="S32" s="10"/>
    </row>
    <row r="33" spans="1:19" ht="13.5" customHeight="1">
      <c r="A33" s="10"/>
      <c r="B33" s="10"/>
      <c r="C33" s="10"/>
      <c r="D33" s="10"/>
      <c r="E33" s="10"/>
      <c r="F33" s="39"/>
      <c r="G33" s="40"/>
      <c r="H33" s="10"/>
      <c r="I33" s="41" t="s">
        <v>50</v>
      </c>
      <c r="J33" s="17"/>
      <c r="K33" s="18" t="str">
        <f>IF(AND(E17&lt;&gt;"",Q12&lt;&gt;""),E17+Q12,"")</f>
        <v/>
      </c>
      <c r="L33" s="43" t="s">
        <v>16</v>
      </c>
      <c r="M33" s="39"/>
      <c r="N33" s="10"/>
      <c r="O33" s="10"/>
      <c r="P33" s="10"/>
      <c r="Q33" s="10"/>
      <c r="R33" s="40"/>
      <c r="S33" s="10"/>
    </row>
    <row r="34" spans="1:19" ht="13.5" customHeight="1">
      <c r="A34" s="10"/>
      <c r="B34" s="10"/>
      <c r="C34" s="10"/>
      <c r="D34" s="10"/>
      <c r="E34" s="10"/>
      <c r="F34" s="10"/>
      <c r="G34" s="40"/>
      <c r="H34" s="10"/>
      <c r="I34" s="91"/>
      <c r="J34" s="17"/>
      <c r="K34" s="16"/>
      <c r="L34" s="42"/>
      <c r="M34" s="39"/>
      <c r="N34" s="10"/>
      <c r="O34" s="10"/>
      <c r="P34" s="10"/>
      <c r="Q34" s="10"/>
      <c r="R34" s="40"/>
      <c r="S34" s="10"/>
    </row>
    <row r="35" spans="1:19" ht="13.5" customHeight="1">
      <c r="A35" s="10"/>
      <c r="B35" s="10"/>
      <c r="C35" s="10"/>
      <c r="D35" s="10"/>
      <c r="E35" s="10"/>
      <c r="F35" s="10"/>
      <c r="G35" s="40"/>
      <c r="H35" s="10"/>
      <c r="I35" s="41" t="s">
        <v>51</v>
      </c>
      <c r="J35" s="17"/>
      <c r="K35" s="18" t="str">
        <f>IF(AND(E28&lt;&gt;"",K28&lt;&gt;"",K29&lt;&gt;"",K30&lt;&gt;"",K31&lt;&gt;"",K32&lt;&gt;"",K33&lt;&gt;""),K28+K29+K30+K31+K32+K33-10*LOG10(Boltzmann_Constant)-10*LOG10(E28),"")</f>
        <v/>
      </c>
      <c r="L35" s="43" t="s">
        <v>16</v>
      </c>
      <c r="M35" s="39"/>
      <c r="N35" s="10"/>
      <c r="O35" s="10"/>
      <c r="P35" s="10"/>
      <c r="Q35" s="10"/>
      <c r="R35" s="40"/>
      <c r="S35" s="10"/>
    </row>
    <row r="36" spans="1:19" ht="13.5" customHeight="1">
      <c r="A36" s="10"/>
      <c r="B36" s="10"/>
      <c r="C36" s="10"/>
      <c r="D36" s="10"/>
      <c r="E36" s="10"/>
      <c r="F36" s="10"/>
      <c r="G36" s="40"/>
      <c r="H36" s="10"/>
      <c r="I36" s="41" t="s">
        <v>52</v>
      </c>
      <c r="J36" s="17"/>
      <c r="K36" s="18" t="str">
        <f>IF(K35&lt;&gt;"",K35+10*LOG10(E28),"")</f>
        <v/>
      </c>
      <c r="L36" s="43" t="s">
        <v>16</v>
      </c>
      <c r="M36" s="39"/>
      <c r="N36" s="10"/>
      <c r="O36" s="10"/>
      <c r="P36" s="10"/>
      <c r="Q36" s="10"/>
      <c r="R36" s="40"/>
      <c r="S36" s="10"/>
    </row>
    <row r="37" spans="1:19" ht="13.5" customHeight="1">
      <c r="A37" s="10"/>
      <c r="B37" s="10"/>
      <c r="C37" s="10"/>
      <c r="D37" s="10"/>
      <c r="E37" s="10"/>
      <c r="F37" s="10"/>
      <c r="G37" s="40"/>
      <c r="H37" s="10"/>
      <c r="I37" s="91" t="s">
        <v>459</v>
      </c>
      <c r="J37" s="18" t="s">
        <v>370</v>
      </c>
      <c r="K37" s="18">
        <f>VLOOKUP(J37,N49:P52,2,FALSE)</f>
        <v>9</v>
      </c>
      <c r="L37" s="412" t="s">
        <v>16</v>
      </c>
      <c r="M37" s="39"/>
      <c r="N37" s="10"/>
      <c r="O37" s="10"/>
      <c r="P37" s="10"/>
      <c r="Q37" s="10"/>
      <c r="R37" s="40"/>
      <c r="S37" s="10"/>
    </row>
    <row r="38" spans="1:19" ht="13.5" customHeight="1">
      <c r="A38" s="10"/>
      <c r="B38" s="10"/>
      <c r="C38" s="10"/>
      <c r="D38" s="10"/>
      <c r="E38" s="10"/>
      <c r="F38" s="10"/>
      <c r="G38" s="40"/>
      <c r="H38" s="10"/>
      <c r="I38" s="41" t="s">
        <v>53</v>
      </c>
      <c r="J38" s="156"/>
      <c r="K38" s="18">
        <f>IF(J38&lt;&gt;"",IF(J38&lt;=0,J38,-J38),-2)</f>
        <v>-2</v>
      </c>
      <c r="L38" s="43" t="s">
        <v>16</v>
      </c>
      <c r="M38" s="39"/>
      <c r="N38" s="10"/>
      <c r="O38" s="10"/>
      <c r="P38" s="10"/>
      <c r="Q38" s="10"/>
      <c r="R38" s="10"/>
      <c r="S38" s="10"/>
    </row>
    <row r="39" spans="1:19" ht="13.5" customHeight="1">
      <c r="A39" s="10"/>
      <c r="B39" s="10"/>
      <c r="C39" s="10"/>
      <c r="D39" s="10"/>
      <c r="E39" s="10"/>
      <c r="F39" s="10"/>
      <c r="G39" s="40"/>
      <c r="H39" s="10"/>
      <c r="I39" s="41" t="s">
        <v>54</v>
      </c>
      <c r="J39" s="92" t="str">
        <f>IF(K39&lt;VLOOKUP(J37,N49:P52,2,FALSE),"Margin is too low","Link is closed")</f>
        <v>Link is closed</v>
      </c>
      <c r="K39" s="18" t="str">
        <f>IF(AND(E30&lt;&gt;"",K35&lt;&gt;""),K35+K38-E30,"")</f>
        <v/>
      </c>
      <c r="L39" s="43" t="s">
        <v>16</v>
      </c>
      <c r="M39" s="39"/>
      <c r="N39" s="10"/>
      <c r="O39" s="10"/>
      <c r="P39" s="10"/>
      <c r="Q39" s="10"/>
      <c r="R39" s="10"/>
      <c r="S39" s="10"/>
    </row>
    <row r="40" spans="1:19" ht="13.5" customHeight="1" thickBot="1">
      <c r="A40" s="10"/>
      <c r="B40" s="10"/>
      <c r="C40" s="10"/>
      <c r="D40" s="10"/>
      <c r="E40" s="10"/>
      <c r="F40" s="10"/>
      <c r="G40" s="40"/>
      <c r="H40" s="10"/>
      <c r="I40" s="44"/>
      <c r="J40" s="45"/>
      <c r="K40" s="45"/>
      <c r="L40" s="46"/>
      <c r="M40" s="39"/>
      <c r="N40" s="10"/>
      <c r="O40" s="10"/>
      <c r="P40" s="10"/>
      <c r="Q40" s="10"/>
      <c r="R40" s="10"/>
      <c r="S40" s="10"/>
    </row>
    <row r="41" spans="1:19" ht="12.9" thickTop="1">
      <c r="A41" s="10"/>
      <c r="B41" s="10"/>
      <c r="C41" s="10"/>
      <c r="D41" s="10"/>
      <c r="E41" s="10"/>
      <c r="F41" s="10"/>
      <c r="G41" s="40"/>
      <c r="H41" s="10"/>
      <c r="I41" s="10"/>
      <c r="J41" s="10"/>
      <c r="K41" s="10"/>
      <c r="L41" s="10"/>
      <c r="M41" s="39"/>
      <c r="N41" s="10"/>
      <c r="O41" s="10"/>
      <c r="P41" s="10"/>
      <c r="Q41" s="10"/>
      <c r="R41" s="10"/>
      <c r="S41" s="10"/>
    </row>
    <row r="42" spans="1:19">
      <c r="A42" s="10"/>
      <c r="B42" s="10"/>
      <c r="C42" s="10"/>
      <c r="D42" s="10"/>
      <c r="E42" s="10"/>
      <c r="F42" s="10"/>
      <c r="G42" s="10"/>
      <c r="H42" s="10"/>
      <c r="I42" s="10"/>
      <c r="J42" s="10"/>
      <c r="K42" s="10"/>
      <c r="L42" s="10"/>
      <c r="M42" s="10"/>
      <c r="N42" s="10"/>
      <c r="O42" s="10"/>
      <c r="P42" s="10"/>
      <c r="Q42" s="10"/>
      <c r="R42" s="10"/>
      <c r="S42" s="10"/>
    </row>
    <row r="43" spans="1:19">
      <c r="A43" s="10"/>
      <c r="B43" s="10"/>
      <c r="C43" s="10"/>
      <c r="D43" s="10"/>
      <c r="E43" s="10"/>
      <c r="F43" s="10"/>
      <c r="G43" s="10"/>
      <c r="H43" s="10"/>
      <c r="I43" s="10"/>
      <c r="J43" s="10"/>
      <c r="K43" s="10"/>
      <c r="L43" s="10"/>
      <c r="M43" s="10"/>
      <c r="N43" s="10"/>
      <c r="O43" s="10"/>
      <c r="P43" s="10"/>
      <c r="Q43" s="10"/>
      <c r="R43" s="10"/>
      <c r="S43" s="10"/>
    </row>
    <row r="44" spans="1:19">
      <c r="A44" s="10"/>
      <c r="B44" s="10"/>
      <c r="C44" s="10"/>
      <c r="D44" s="10"/>
      <c r="E44" s="10"/>
      <c r="F44" s="10"/>
      <c r="G44" s="10"/>
      <c r="H44" s="10"/>
      <c r="I44" s="10"/>
      <c r="J44" s="10"/>
      <c r="K44" s="10"/>
      <c r="L44" s="10"/>
      <c r="M44" s="10"/>
      <c r="N44" s="10"/>
      <c r="O44" s="10"/>
      <c r="P44" s="10"/>
      <c r="Q44" s="10"/>
      <c r="R44" s="10"/>
      <c r="S44" s="10"/>
    </row>
    <row r="45" spans="1:19">
      <c r="A45" s="10"/>
      <c r="B45" s="10"/>
      <c r="C45" s="10"/>
      <c r="D45" s="10"/>
      <c r="E45" s="10"/>
      <c r="F45" s="10"/>
      <c r="G45" s="10"/>
      <c r="H45" s="10"/>
      <c r="I45" s="10"/>
      <c r="J45" s="10"/>
      <c r="K45" s="10"/>
      <c r="L45" s="10"/>
      <c r="M45" s="10"/>
      <c r="N45" s="10"/>
      <c r="O45" s="10"/>
      <c r="P45" s="10"/>
      <c r="Q45" s="10"/>
      <c r="R45" s="10"/>
      <c r="S45" s="10"/>
    </row>
    <row r="46" spans="1:19">
      <c r="M46" s="2"/>
      <c r="R46" s="2"/>
    </row>
    <row r="47" spans="1:19">
      <c r="L47" s="396"/>
      <c r="M47" s="388"/>
      <c r="N47" s="388"/>
      <c r="O47" s="388"/>
      <c r="P47" s="388"/>
      <c r="R47" s="2"/>
    </row>
    <row r="48" spans="1:19">
      <c r="L48" s="396"/>
      <c r="M48" s="388"/>
      <c r="N48" s="388" t="s">
        <v>368</v>
      </c>
      <c r="O48" s="388" t="s">
        <v>54</v>
      </c>
      <c r="P48" s="388" t="s">
        <v>369</v>
      </c>
    </row>
    <row r="49" spans="3:16">
      <c r="L49" s="396"/>
      <c r="M49" s="388"/>
      <c r="N49" s="388" t="s">
        <v>370</v>
      </c>
      <c r="O49" s="388">
        <v>9</v>
      </c>
      <c r="P49" s="388" t="s">
        <v>16</v>
      </c>
    </row>
    <row r="50" spans="3:16">
      <c r="L50" s="396"/>
      <c r="M50" s="388"/>
      <c r="N50" s="388" t="s">
        <v>371</v>
      </c>
      <c r="O50" s="388">
        <v>6</v>
      </c>
      <c r="P50" s="388" t="s">
        <v>16</v>
      </c>
    </row>
    <row r="51" spans="3:16">
      <c r="C51" s="343"/>
      <c r="D51" s="343" t="s">
        <v>310</v>
      </c>
      <c r="E51" s="343" t="s">
        <v>311</v>
      </c>
      <c r="F51" s="344">
        <v>1E-3</v>
      </c>
      <c r="G51" s="345">
        <v>1E-4</v>
      </c>
      <c r="H51" s="345">
        <v>1.0000000000000001E-5</v>
      </c>
      <c r="I51" s="345">
        <v>9.9999999999999995E-7</v>
      </c>
      <c r="L51" s="396"/>
      <c r="M51" s="388"/>
      <c r="N51" s="388" t="s">
        <v>372</v>
      </c>
      <c r="O51" s="388">
        <v>3</v>
      </c>
      <c r="P51" s="388" t="s">
        <v>16</v>
      </c>
    </row>
    <row r="52" spans="3:16">
      <c r="C52" s="346" t="s">
        <v>305</v>
      </c>
      <c r="D52" s="346">
        <v>1</v>
      </c>
      <c r="E52" s="344">
        <v>1E-3</v>
      </c>
      <c r="F52" s="346">
        <v>8</v>
      </c>
      <c r="G52" s="346">
        <v>9.5</v>
      </c>
      <c r="H52" s="346">
        <v>10.5</v>
      </c>
      <c r="I52" s="346">
        <v>11.5</v>
      </c>
      <c r="L52" s="396"/>
      <c r="M52" s="388"/>
      <c r="N52" s="388" t="s">
        <v>373</v>
      </c>
      <c r="O52" s="388">
        <v>0</v>
      </c>
      <c r="P52" s="388" t="s">
        <v>16</v>
      </c>
    </row>
    <row r="53" spans="3:16">
      <c r="C53" s="347" t="s">
        <v>306</v>
      </c>
      <c r="D53" s="347">
        <v>2</v>
      </c>
      <c r="E53" s="345">
        <v>1E-4</v>
      </c>
      <c r="F53" s="347">
        <v>8</v>
      </c>
      <c r="G53" s="347">
        <v>9.5</v>
      </c>
      <c r="H53" s="347">
        <v>10.5</v>
      </c>
      <c r="I53" s="347">
        <v>11.5</v>
      </c>
      <c r="M53" s="2"/>
    </row>
    <row r="54" spans="3:16">
      <c r="C54" s="347" t="s">
        <v>307</v>
      </c>
      <c r="D54" s="348">
        <v>2</v>
      </c>
      <c r="E54" s="345">
        <v>1.0000000000000001E-5</v>
      </c>
      <c r="F54" s="347">
        <v>11</v>
      </c>
      <c r="G54" s="347">
        <v>13</v>
      </c>
      <c r="H54" s="347">
        <v>14</v>
      </c>
      <c r="I54" s="347">
        <v>15</v>
      </c>
      <c r="M54" s="2"/>
    </row>
    <row r="55" spans="3:16">
      <c r="C55" s="347" t="s">
        <v>308</v>
      </c>
      <c r="D55" s="348">
        <v>4</v>
      </c>
      <c r="E55" s="345">
        <v>9.9999999999999995E-7</v>
      </c>
      <c r="F55" s="348">
        <v>11</v>
      </c>
      <c r="G55" s="347">
        <v>13</v>
      </c>
      <c r="H55" s="347">
        <v>14.5</v>
      </c>
      <c r="I55" s="347">
        <v>15.5</v>
      </c>
    </row>
    <row r="56" spans="3:16">
      <c r="C56" s="343"/>
      <c r="D56" s="343"/>
      <c r="E56" s="343"/>
      <c r="F56" s="343"/>
      <c r="G56" s="343"/>
      <c r="H56" s="343"/>
      <c r="I56" s="343"/>
    </row>
    <row r="57" spans="3:16">
      <c r="C57" s="343"/>
      <c r="D57" s="343"/>
      <c r="E57" s="343"/>
      <c r="F57" s="343"/>
      <c r="G57" s="343"/>
      <c r="H57" s="343"/>
      <c r="I57" s="343"/>
    </row>
    <row r="58" spans="3:16">
      <c r="C58" s="343"/>
      <c r="D58" s="343"/>
      <c r="E58" s="343"/>
      <c r="F58" s="343"/>
      <c r="G58" s="343"/>
      <c r="H58" s="343"/>
      <c r="I58" s="343"/>
    </row>
    <row r="59" spans="3:16">
      <c r="C59" s="343"/>
      <c r="D59" s="343"/>
      <c r="E59" s="343"/>
      <c r="F59" s="343"/>
      <c r="G59" s="343"/>
      <c r="H59" s="343"/>
      <c r="I59" s="343"/>
    </row>
    <row r="60" spans="3:16">
      <c r="C60" s="349"/>
      <c r="D60" s="350" t="s">
        <v>305</v>
      </c>
      <c r="E60" s="350" t="s">
        <v>307</v>
      </c>
      <c r="F60" s="350" t="s">
        <v>308</v>
      </c>
      <c r="G60" s="343"/>
      <c r="H60" s="343"/>
      <c r="I60" s="343"/>
    </row>
    <row r="61" spans="3:16">
      <c r="C61" s="351">
        <v>0</v>
      </c>
      <c r="D61" s="352">
        <v>7.8649603999999998E-2</v>
      </c>
      <c r="E61" s="352">
        <v>0.11618786</v>
      </c>
      <c r="F61" s="352">
        <v>0.11869431</v>
      </c>
      <c r="G61" s="343"/>
      <c r="H61" s="343"/>
      <c r="I61" s="343"/>
    </row>
    <row r="62" spans="3:16">
      <c r="C62" s="351">
        <v>1</v>
      </c>
      <c r="D62" s="352">
        <v>5.6281952000000003E-2</v>
      </c>
      <c r="E62" s="352">
        <v>9.7637063999999996E-2</v>
      </c>
      <c r="F62" s="352">
        <v>0.10335091</v>
      </c>
      <c r="G62" s="343"/>
      <c r="H62" s="343"/>
      <c r="I62" s="343"/>
    </row>
    <row r="63" spans="3:16">
      <c r="C63" s="351">
        <v>2</v>
      </c>
      <c r="D63" s="352">
        <v>3.7506128E-2</v>
      </c>
      <c r="E63" s="352">
        <v>7.9321418000000005E-2</v>
      </c>
      <c r="F63" s="352">
        <v>8.7181977999999993E-2</v>
      </c>
      <c r="G63" s="343"/>
      <c r="H63" s="343"/>
      <c r="I63" s="343"/>
    </row>
    <row r="64" spans="3:16">
      <c r="C64" s="351">
        <v>3</v>
      </c>
      <c r="D64" s="352">
        <v>2.2878407999999999E-2</v>
      </c>
      <c r="E64" s="352">
        <v>6.1825135000000003E-2</v>
      </c>
      <c r="F64" s="352">
        <v>7.0706306999999996E-2</v>
      </c>
      <c r="G64" s="343"/>
      <c r="H64" s="343"/>
      <c r="I64" s="343"/>
    </row>
    <row r="65" spans="3:9">
      <c r="C65" s="351">
        <v>4</v>
      </c>
      <c r="D65" s="352">
        <v>1.2500818E-2</v>
      </c>
      <c r="E65" s="352">
        <v>4.5790943000000001E-2</v>
      </c>
      <c r="F65" s="352">
        <v>5.4616241000000003E-2</v>
      </c>
      <c r="G65" s="343"/>
      <c r="H65" s="343"/>
      <c r="I65" s="343"/>
    </row>
    <row r="66" spans="3:9">
      <c r="C66" s="351">
        <v>5</v>
      </c>
      <c r="D66" s="352">
        <v>5.9538671000000003E-3</v>
      </c>
      <c r="E66" s="352">
        <v>3.1843303000000003E-2</v>
      </c>
      <c r="F66" s="352">
        <v>3.9717537999999997E-2</v>
      </c>
      <c r="G66" s="343"/>
      <c r="H66" s="343"/>
      <c r="I66" s="343"/>
    </row>
    <row r="67" spans="3:9">
      <c r="C67" s="351">
        <v>6</v>
      </c>
      <c r="D67" s="352">
        <v>2.3882907999999998E-3</v>
      </c>
      <c r="E67" s="352">
        <v>2.0479924E-2</v>
      </c>
      <c r="F67" s="352">
        <v>2.6806703000000001E-2</v>
      </c>
      <c r="G67" s="343"/>
      <c r="H67" s="343"/>
      <c r="I67" s="343"/>
    </row>
    <row r="68" spans="3:9">
      <c r="C68" s="351">
        <v>7</v>
      </c>
      <c r="D68" s="352">
        <v>7.7267481999999997E-4</v>
      </c>
      <c r="E68" s="352">
        <v>1.1952769E-2</v>
      </c>
      <c r="F68" s="352">
        <v>1.6499646E-2</v>
      </c>
      <c r="G68" s="343"/>
      <c r="H68" s="343"/>
      <c r="I68" s="343"/>
    </row>
    <row r="69" spans="3:9">
      <c r="C69" s="351">
        <v>8</v>
      </c>
      <c r="D69" s="352">
        <v>1.9090776999999999E-4</v>
      </c>
      <c r="E69" s="352">
        <v>6.1810518000000002E-3</v>
      </c>
      <c r="F69" s="352">
        <v>9.0624729999999997E-3</v>
      </c>
      <c r="G69" s="343"/>
      <c r="H69" s="343"/>
      <c r="I69" s="343"/>
    </row>
    <row r="70" spans="3:9">
      <c r="C70" s="351">
        <v>9</v>
      </c>
      <c r="D70" s="352">
        <v>3.3627227999999999E-5</v>
      </c>
      <c r="E70" s="352">
        <v>2.7481335E-3</v>
      </c>
      <c r="F70" s="352">
        <v>4.3234856000000004E-3</v>
      </c>
      <c r="G70" s="343"/>
      <c r="H70" s="343"/>
      <c r="I70" s="343"/>
    </row>
    <row r="71" spans="3:9">
      <c r="C71" s="351">
        <v>10</v>
      </c>
      <c r="D71" s="352">
        <v>3.8721081999999998E-6</v>
      </c>
      <c r="E71" s="352">
        <v>1.0113953000000001E-3</v>
      </c>
      <c r="F71" s="352">
        <v>1.7319644E-3</v>
      </c>
      <c r="G71" s="343"/>
      <c r="H71" s="343"/>
      <c r="I71" s="343"/>
    </row>
    <row r="72" spans="3:9">
      <c r="C72" s="351">
        <v>11</v>
      </c>
      <c r="D72" s="352">
        <v>2.6130679999999999E-7</v>
      </c>
      <c r="E72" s="352">
        <v>2.9372924999999998E-4</v>
      </c>
      <c r="F72" s="352">
        <v>5.5822086000000004E-4</v>
      </c>
      <c r="G72" s="343"/>
      <c r="H72" s="343"/>
      <c r="I72" s="343"/>
    </row>
    <row r="73" spans="3:9">
      <c r="C73" s="351">
        <v>12</v>
      </c>
      <c r="D73" s="352">
        <v>9.0060103999999997E-9</v>
      </c>
      <c r="E73" s="352">
        <v>6.3378787999999998E-5</v>
      </c>
      <c r="F73" s="352">
        <v>1.3712408E-4</v>
      </c>
      <c r="G73" s="343"/>
      <c r="H73" s="343"/>
      <c r="I73" s="343"/>
    </row>
    <row r="74" spans="3:9">
      <c r="C74" s="351">
        <v>13</v>
      </c>
      <c r="D74" s="352"/>
      <c r="E74" s="352">
        <v>9.4172645E-6</v>
      </c>
      <c r="F74" s="352">
        <v>2.3968291000000001E-5</v>
      </c>
      <c r="G74" s="343"/>
      <c r="H74" s="343"/>
      <c r="I74" s="343"/>
    </row>
    <row r="75" spans="3:9">
      <c r="C75" s="351">
        <v>14</v>
      </c>
      <c r="D75" s="352"/>
      <c r="E75" s="352">
        <v>8.7563269999999996E-7</v>
      </c>
      <c r="F75" s="352">
        <v>2.7329935000000001E-6</v>
      </c>
      <c r="G75" s="343"/>
      <c r="H75" s="343"/>
      <c r="I75" s="343"/>
    </row>
    <row r="76" spans="3:9">
      <c r="C76" s="351">
        <v>15</v>
      </c>
      <c r="D76" s="352"/>
      <c r="E76" s="352">
        <v>4.5160925000000002E-8</v>
      </c>
      <c r="F76" s="352">
        <v>1.8217203E-7</v>
      </c>
      <c r="G76" s="343"/>
      <c r="H76" s="343"/>
      <c r="I76" s="343"/>
    </row>
    <row r="77" spans="3:9">
      <c r="C77" s="351">
        <v>16</v>
      </c>
      <c r="D77" s="352"/>
      <c r="E77" s="352">
        <v>1.10987E-9</v>
      </c>
      <c r="F77" s="352">
        <v>6.1818745000000001E-9</v>
      </c>
      <c r="G77" s="343"/>
      <c r="H77" s="343"/>
      <c r="I77" s="343"/>
    </row>
  </sheetData>
  <mergeCells count="15">
    <mergeCell ref="I27:L27"/>
    <mergeCell ref="C22:F22"/>
    <mergeCell ref="C6:F6"/>
    <mergeCell ref="O25:R25"/>
    <mergeCell ref="O21:R21"/>
    <mergeCell ref="I25:L25"/>
    <mergeCell ref="O19:R19"/>
    <mergeCell ref="C20:F20"/>
    <mergeCell ref="I12:L12"/>
    <mergeCell ref="A3:S3"/>
    <mergeCell ref="C4:F4"/>
    <mergeCell ref="I4:L4"/>
    <mergeCell ref="O4:R4"/>
    <mergeCell ref="I6:L6"/>
    <mergeCell ref="O6:R6"/>
  </mergeCells>
  <phoneticPr fontId="0" type="noConversion"/>
  <dataValidations disablePrompts="1" count="3">
    <dataValidation type="list" allowBlank="1" showInputMessage="1" showErrorMessage="1" sqref="D26:E26" xr:uid="{00000000-0002-0000-0400-000000000000}">
      <formula1>$C$52:$C$55</formula1>
    </dataValidation>
    <dataValidation type="list" allowBlank="1" showInputMessage="1" showErrorMessage="1" sqref="D29" xr:uid="{00000000-0002-0000-0400-000001000000}">
      <formula1>$E$52:$E$55</formula1>
    </dataValidation>
    <dataValidation type="list" allowBlank="1" showInputMessage="1" showErrorMessage="1" sqref="J37" xr:uid="{00000000-0002-0000-0400-000002000000}">
      <formula1>$N$49:$N$52</formula1>
    </dataValidation>
  </dataValidations>
  <pageMargins left="0.75" right="0.75" top="1" bottom="1" header="0.5" footer="0.5"/>
  <pageSetup paperSize="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94" r:id="rId4" name="Drop Down 46">
              <controlPr defaultSize="0" autoLine="0" autoPict="0">
                <anchor moveWithCells="1">
                  <from>
                    <xdr:col>3</xdr:col>
                    <xdr:colOff>0</xdr:colOff>
                    <xdr:row>21</xdr:row>
                    <xdr:rowOff>163830</xdr:rowOff>
                  </from>
                  <to>
                    <xdr:col>5</xdr:col>
                    <xdr:colOff>373380</xdr:colOff>
                    <xdr:row>22</xdr:row>
                    <xdr:rowOff>152400</xdr:rowOff>
                  </to>
                </anchor>
              </controlPr>
            </control>
          </mc:Choice>
        </mc:AlternateContent>
        <mc:AlternateContent xmlns:mc="http://schemas.openxmlformats.org/markup-compatibility/2006">
          <mc:Choice Requires="x14">
            <control shapeId="2098" r:id="rId5" name="Button 50">
              <controlPr defaultSize="0" print="0" autoFill="0" autoPict="0" macro="[0]!TradeMarginUplink">
                <anchor moveWithCells="1" sizeWithCells="1">
                  <from>
                    <xdr:col>14</xdr:col>
                    <xdr:colOff>30480</xdr:colOff>
                    <xdr:row>3</xdr:row>
                    <xdr:rowOff>163830</xdr:rowOff>
                  </from>
                  <to>
                    <xdr:col>15</xdr:col>
                    <xdr:colOff>316230</xdr:colOff>
                    <xdr:row>5</xdr:row>
                    <xdr:rowOff>19050</xdr:rowOff>
                  </to>
                </anchor>
              </controlPr>
            </control>
          </mc:Choice>
        </mc:AlternateContent>
        <mc:AlternateContent xmlns:mc="http://schemas.openxmlformats.org/markup-compatibility/2006">
          <mc:Choice Requires="x14">
            <control shapeId="2100" r:id="rId6" name="Button 52">
              <controlPr defaultSize="0" print="0" autoFill="0" autoPict="0" macro="[0]!Altitude_Margin_Uplink">
                <anchor moveWithCells="1" sizeWithCells="1">
                  <from>
                    <xdr:col>8</xdr:col>
                    <xdr:colOff>49530</xdr:colOff>
                    <xdr:row>24</xdr:row>
                    <xdr:rowOff>144780</xdr:rowOff>
                  </from>
                  <to>
                    <xdr:col>8</xdr:col>
                    <xdr:colOff>1725930</xdr:colOff>
                    <xdr:row>25</xdr:row>
                    <xdr:rowOff>152400</xdr:rowOff>
                  </to>
                </anchor>
              </controlPr>
            </control>
          </mc:Choice>
        </mc:AlternateContent>
        <mc:AlternateContent xmlns:mc="http://schemas.openxmlformats.org/markup-compatibility/2006">
          <mc:Choice Requires="x14">
            <control shapeId="2101" r:id="rId7" name="Button 53">
              <controlPr defaultSize="0" print="0" autoFill="0" autoPict="0" macro="[0]!Beamwidth_Margin_Uplink">
                <anchor moveWithCells="1" sizeWithCells="1">
                  <from>
                    <xdr:col>9</xdr:col>
                    <xdr:colOff>1021080</xdr:colOff>
                    <xdr:row>24</xdr:row>
                    <xdr:rowOff>133350</xdr:rowOff>
                  </from>
                  <to>
                    <xdr:col>11</xdr:col>
                    <xdr:colOff>354330</xdr:colOff>
                    <xdr:row>25</xdr:row>
                    <xdr:rowOff>163830</xdr:rowOff>
                  </to>
                </anchor>
              </controlPr>
            </control>
          </mc:Choice>
        </mc:AlternateContent>
        <mc:AlternateContent xmlns:mc="http://schemas.openxmlformats.org/markup-compatibility/2006">
          <mc:Choice Requires="x14">
            <control shapeId="2102" r:id="rId8" name="Button 54">
              <controlPr defaultSize="0" print="0" autoFill="0" autoPict="0" macro="[0]!TransmitterAntDiam_Margin_Uplink">
                <anchor moveWithCells="1" sizeWithCells="1">
                  <from>
                    <xdr:col>8</xdr:col>
                    <xdr:colOff>1447800</xdr:colOff>
                    <xdr:row>40</xdr:row>
                    <xdr:rowOff>30480</xdr:rowOff>
                  </from>
                  <to>
                    <xdr:col>10</xdr:col>
                    <xdr:colOff>487680</xdr:colOff>
                    <xdr:row>41</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400-000003000000}">
          <x14:formula1>
            <xm:f>Constants!$K$30:$K$39</xm:f>
          </x14:formula1>
          <xm:sqref>J5</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0">
    <tabColor theme="3" tint="0.39997558519241921"/>
    <pageSetUpPr fitToPage="1"/>
  </sheetPr>
  <dimension ref="A1:AJ77"/>
  <sheetViews>
    <sheetView topLeftCell="A12" zoomScale="85" zoomScaleNormal="85" workbookViewId="0">
      <selection activeCell="J29" sqref="J29"/>
    </sheetView>
  </sheetViews>
  <sheetFormatPr defaultColWidth="9.29296875" defaultRowHeight="12.6"/>
  <cols>
    <col min="1" max="1" width="7" style="61" customWidth="1"/>
    <col min="2" max="2" width="28.8203125" style="61" customWidth="1"/>
    <col min="3" max="3" width="11.8203125" style="61" customWidth="1"/>
    <col min="4" max="4" width="29.703125" style="61" bestFit="1" customWidth="1"/>
    <col min="5" max="5" width="21.8203125" style="100" bestFit="1" customWidth="1"/>
    <col min="6" max="6" width="4.8203125" style="61" customWidth="1"/>
    <col min="7" max="7" width="2.8203125" style="61" customWidth="1"/>
    <col min="8" max="8" width="34.17578125" style="61" customWidth="1"/>
    <col min="9" max="9" width="20.703125" style="61" bestFit="1" customWidth="1"/>
    <col min="10" max="10" width="21" style="61" bestFit="1" customWidth="1"/>
    <col min="11" max="11" width="5.8203125" style="100" customWidth="1"/>
    <col min="12" max="12" width="4.8203125" style="100" customWidth="1"/>
    <col min="13" max="13" width="2.8203125" style="61" customWidth="1"/>
    <col min="14" max="14" width="39" style="61" bestFit="1" customWidth="1"/>
    <col min="15" max="16" width="11.8203125" style="61" customWidth="1"/>
    <col min="17" max="17" width="5.8203125" style="4" customWidth="1"/>
    <col min="18" max="16384" width="9.29296875" style="61"/>
  </cols>
  <sheetData>
    <row r="1" spans="1:36" ht="36" customHeight="1" thickBot="1">
      <c r="A1" s="74"/>
      <c r="B1" s="75"/>
      <c r="C1" s="7"/>
      <c r="D1" s="7"/>
      <c r="E1" s="7"/>
      <c r="F1" s="7"/>
      <c r="G1" s="7">
        <v>0</v>
      </c>
      <c r="H1" s="7"/>
      <c r="I1" s="7"/>
      <c r="J1" s="7"/>
      <c r="K1" s="8"/>
      <c r="L1" s="8"/>
      <c r="M1" s="76"/>
      <c r="N1" s="76"/>
      <c r="O1" s="76"/>
      <c r="P1" s="76"/>
      <c r="Q1" s="8"/>
      <c r="R1" s="74"/>
      <c r="T1" s="331"/>
      <c r="U1" s="331"/>
      <c r="V1" s="331"/>
      <c r="W1" s="331"/>
      <c r="X1" s="331"/>
      <c r="Y1" s="331"/>
      <c r="Z1" s="331"/>
      <c r="AA1" s="331"/>
      <c r="AB1" s="331"/>
      <c r="AC1" s="387"/>
      <c r="AD1" s="331"/>
    </row>
    <row r="2" spans="1:36" ht="15.9" thickTop="1" thickBot="1">
      <c r="A2" s="74"/>
      <c r="B2" s="143" t="s">
        <v>171</v>
      </c>
      <c r="C2" s="104" t="s">
        <v>178</v>
      </c>
      <c r="D2" s="7"/>
      <c r="E2" s="7"/>
      <c r="F2" s="7"/>
      <c r="G2" s="7"/>
      <c r="H2" s="7"/>
      <c r="I2" s="7"/>
      <c r="J2" s="7"/>
      <c r="K2" s="8"/>
      <c r="L2" s="8"/>
      <c r="M2" s="76"/>
      <c r="N2" s="76"/>
      <c r="O2" s="76"/>
      <c r="P2" s="76"/>
      <c r="Q2" s="8"/>
      <c r="R2" s="74"/>
      <c r="S2" s="566" t="s">
        <v>363</v>
      </c>
      <c r="T2" s="567"/>
      <c r="U2" s="567"/>
      <c r="V2" s="567"/>
      <c r="W2" s="567"/>
      <c r="X2" s="567"/>
      <c r="Y2" s="567"/>
      <c r="Z2" s="567"/>
      <c r="AA2" s="567"/>
      <c r="AB2" s="567"/>
      <c r="AC2" s="567"/>
      <c r="AD2" s="567"/>
      <c r="AE2" s="567"/>
      <c r="AF2" s="567"/>
      <c r="AG2" s="567"/>
      <c r="AH2" s="567"/>
      <c r="AI2" s="567"/>
      <c r="AJ2" s="568"/>
    </row>
    <row r="3" spans="1:36" ht="13.5" customHeight="1" thickTop="1" thickBot="1">
      <c r="A3" s="74"/>
      <c r="B3" s="569"/>
      <c r="C3" s="569"/>
      <c r="D3" s="569"/>
      <c r="E3" s="569"/>
      <c r="F3" s="569"/>
      <c r="G3" s="569"/>
      <c r="H3" s="569"/>
      <c r="I3" s="569"/>
      <c r="J3" s="569"/>
      <c r="K3" s="569"/>
      <c r="L3" s="569"/>
      <c r="M3" s="569"/>
      <c r="N3" s="569"/>
      <c r="O3" s="569"/>
      <c r="P3" s="569"/>
      <c r="Q3" s="569"/>
      <c r="R3" s="569"/>
      <c r="S3" s="389"/>
      <c r="T3" s="65"/>
      <c r="U3" s="65"/>
      <c r="V3" s="65"/>
      <c r="W3" s="65"/>
      <c r="X3" s="65"/>
      <c r="Y3" s="65"/>
      <c r="Z3" s="65"/>
      <c r="AA3" s="65"/>
      <c r="AB3" s="65"/>
      <c r="AC3" s="65"/>
      <c r="AD3" s="65"/>
      <c r="AE3" s="65"/>
      <c r="AF3" s="65"/>
      <c r="AG3" s="65"/>
      <c r="AH3" s="65"/>
      <c r="AI3" s="65"/>
      <c r="AJ3" s="390"/>
    </row>
    <row r="4" spans="1:36" s="103" customFormat="1" ht="13.5" customHeight="1" thickTop="1">
      <c r="A4" s="101"/>
      <c r="B4" s="530" t="s">
        <v>55</v>
      </c>
      <c r="C4" s="570"/>
      <c r="D4" s="570"/>
      <c r="E4" s="571"/>
      <c r="F4" s="101"/>
      <c r="G4" s="101"/>
      <c r="H4" s="527" t="s">
        <v>18</v>
      </c>
      <c r="I4" s="572"/>
      <c r="J4" s="572"/>
      <c r="K4" s="573"/>
      <c r="L4" s="102"/>
      <c r="M4" s="101"/>
      <c r="N4" s="524" t="s">
        <v>56</v>
      </c>
      <c r="O4" s="525"/>
      <c r="P4" s="525"/>
      <c r="Q4" s="526"/>
      <c r="R4" s="101"/>
      <c r="S4" s="389"/>
      <c r="T4" s="65"/>
      <c r="U4" s="65"/>
      <c r="V4" s="65"/>
      <c r="W4" s="65"/>
      <c r="X4" s="65"/>
      <c r="Y4" s="65"/>
      <c r="Z4" s="65"/>
      <c r="AA4" s="65"/>
      <c r="AB4" s="65"/>
      <c r="AC4" s="65"/>
      <c r="AD4" s="65"/>
      <c r="AE4" s="65"/>
      <c r="AF4" s="65"/>
      <c r="AG4" s="65"/>
      <c r="AH4" s="65"/>
      <c r="AI4" s="65"/>
      <c r="AJ4" s="390"/>
    </row>
    <row r="5" spans="1:36" ht="13.5" customHeight="1">
      <c r="A5" s="74"/>
      <c r="B5" s="106"/>
      <c r="C5" s="65"/>
      <c r="D5" s="65"/>
      <c r="E5" s="107"/>
      <c r="F5" s="74"/>
      <c r="G5" s="74"/>
      <c r="H5" s="33" t="s">
        <v>304</v>
      </c>
      <c r="I5" s="26" t="s">
        <v>222</v>
      </c>
      <c r="J5" s="67"/>
      <c r="K5" s="68"/>
      <c r="L5" s="78"/>
      <c r="M5" s="74"/>
      <c r="N5" s="115"/>
      <c r="O5" s="79"/>
      <c r="P5" s="79"/>
      <c r="Q5" s="116"/>
      <c r="R5" s="74"/>
      <c r="S5" s="389"/>
      <c r="T5" s="65"/>
      <c r="U5" s="65"/>
      <c r="V5" s="65"/>
      <c r="W5" s="65"/>
      <c r="X5" s="65"/>
      <c r="Y5" s="65"/>
      <c r="Z5" s="65"/>
      <c r="AA5" s="65"/>
      <c r="AB5" s="65"/>
      <c r="AC5" s="65"/>
      <c r="AD5" s="65"/>
      <c r="AE5" s="65"/>
      <c r="AF5" s="65"/>
      <c r="AG5" s="65"/>
      <c r="AH5" s="65"/>
      <c r="AI5" s="65"/>
      <c r="AJ5" s="390"/>
    </row>
    <row r="6" spans="1:36" ht="13.5" customHeight="1">
      <c r="A6" s="74"/>
      <c r="B6" s="574" t="s">
        <v>166</v>
      </c>
      <c r="C6" s="575"/>
      <c r="D6" s="575"/>
      <c r="E6" s="576"/>
      <c r="F6" s="74"/>
      <c r="G6" s="74"/>
      <c r="H6" s="533" t="s">
        <v>167</v>
      </c>
      <c r="I6" s="534"/>
      <c r="J6" s="534"/>
      <c r="K6" s="535"/>
      <c r="L6" s="78"/>
      <c r="M6" s="74"/>
      <c r="N6" s="545" t="s">
        <v>166</v>
      </c>
      <c r="O6" s="577"/>
      <c r="P6" s="577"/>
      <c r="Q6" s="578"/>
      <c r="R6" s="74"/>
      <c r="S6" s="389"/>
      <c r="T6" s="65"/>
      <c r="U6" s="65"/>
      <c r="V6" s="65"/>
      <c r="W6" s="65"/>
      <c r="X6" s="65"/>
      <c r="Y6" s="65"/>
      <c r="Z6" s="65"/>
      <c r="AA6" s="65"/>
      <c r="AB6" s="65"/>
      <c r="AC6" s="65"/>
      <c r="AD6" s="65"/>
      <c r="AE6" s="65"/>
      <c r="AF6" s="65"/>
      <c r="AG6" s="65"/>
      <c r="AH6" s="65"/>
      <c r="AI6" s="65"/>
      <c r="AJ6" s="390"/>
    </row>
    <row r="7" spans="1:36" ht="13.5" customHeight="1">
      <c r="A7" s="74"/>
      <c r="B7" s="108" t="s">
        <v>20</v>
      </c>
      <c r="C7" s="156">
        <v>1</v>
      </c>
      <c r="D7" s="23">
        <f>IF(D8&lt;&gt;"",10^(D8/10),"")</f>
        <v>1</v>
      </c>
      <c r="E7" s="109" t="s">
        <v>21</v>
      </c>
      <c r="F7" s="74"/>
      <c r="G7" s="74"/>
      <c r="H7" s="147" t="s">
        <v>0</v>
      </c>
      <c r="I7" s="145" t="s">
        <v>174</v>
      </c>
      <c r="J7" s="149">
        <v>100</v>
      </c>
      <c r="K7" s="154" t="s">
        <v>1</v>
      </c>
      <c r="L7" s="78"/>
      <c r="M7" s="74"/>
      <c r="N7" s="117" t="s">
        <v>23</v>
      </c>
      <c r="O7" s="156">
        <v>0.7</v>
      </c>
      <c r="P7" s="13">
        <f>IF(O7&lt;&gt;"",O7,0.55)</f>
        <v>0.7</v>
      </c>
      <c r="Q7" s="118"/>
      <c r="R7" s="74"/>
      <c r="S7" s="389"/>
      <c r="T7" s="395"/>
      <c r="U7" s="395" t="s">
        <v>159</v>
      </c>
      <c r="V7" s="395">
        <v>1.5</v>
      </c>
      <c r="W7" s="395"/>
      <c r="X7" s="65"/>
      <c r="Y7" s="65"/>
      <c r="Z7" s="65"/>
      <c r="AA7" s="65"/>
      <c r="AB7" s="65"/>
      <c r="AC7" s="65"/>
      <c r="AD7" s="65"/>
      <c r="AE7" s="65"/>
      <c r="AF7" s="65"/>
      <c r="AG7" s="65"/>
      <c r="AH7" s="65"/>
      <c r="AI7" s="65"/>
      <c r="AJ7" s="390"/>
    </row>
    <row r="8" spans="1:36" ht="13.5" customHeight="1">
      <c r="A8" s="74"/>
      <c r="B8" s="108" t="s">
        <v>20</v>
      </c>
      <c r="C8" s="156"/>
      <c r="D8" s="23">
        <f>IF(AND(C14&lt;&gt;"",D12&lt;&gt;""),C14-D9-D12,IF(C8&lt;&gt;"",C8,IF(C7&lt;&gt;"",10*LOG10(C7),"")))</f>
        <v>0</v>
      </c>
      <c r="E8" s="109" t="s">
        <v>16</v>
      </c>
      <c r="F8" s="74"/>
      <c r="G8" s="74"/>
      <c r="H8" s="147" t="s">
        <v>458</v>
      </c>
      <c r="I8" s="145" t="s">
        <v>175</v>
      </c>
      <c r="J8" s="149"/>
      <c r="K8" s="154" t="s">
        <v>1</v>
      </c>
      <c r="L8" s="78"/>
      <c r="M8" s="74"/>
      <c r="N8" s="117" t="s">
        <v>26</v>
      </c>
      <c r="O8" s="156">
        <v>3.5</v>
      </c>
      <c r="P8" s="14">
        <f>IF(AND(O10&lt;&gt;"",$D$30&lt;&gt;""),21/$D$30/O10,IF(O8&lt;&gt;"",O8,IF(AND(P9&lt;&gt;"",D31&lt;&gt;""),SQRT(10^(P9/10)*$D$31^2/PI()^2/P7),"")))</f>
        <v>3.5</v>
      </c>
      <c r="Q8" s="118" t="s">
        <v>14</v>
      </c>
      <c r="R8" s="74"/>
      <c r="S8" s="389"/>
      <c r="T8" s="395"/>
      <c r="U8" s="395" t="s">
        <v>160</v>
      </c>
      <c r="V8" s="395">
        <v>2.5</v>
      </c>
      <c r="W8" s="395"/>
      <c r="X8" s="65"/>
      <c r="Y8" s="65"/>
      <c r="Z8" s="65"/>
      <c r="AA8" s="65"/>
      <c r="AB8" s="65"/>
      <c r="AC8" s="65"/>
      <c r="AD8" s="65"/>
      <c r="AE8" s="65"/>
      <c r="AF8" s="65"/>
      <c r="AG8" s="65"/>
      <c r="AH8" s="65"/>
      <c r="AI8" s="65"/>
      <c r="AJ8" s="390"/>
    </row>
    <row r="9" spans="1:36" ht="13.5" customHeight="1">
      <c r="A9" s="74"/>
      <c r="B9" s="108" t="s">
        <v>27</v>
      </c>
      <c r="C9" s="156"/>
      <c r="D9" s="23">
        <f>IF(C9&lt;&gt;"",IF(C9&lt;=0,C9,-C9),-3)</f>
        <v>-3</v>
      </c>
      <c r="E9" s="109" t="s">
        <v>16</v>
      </c>
      <c r="F9" s="74"/>
      <c r="G9" s="74"/>
      <c r="H9" s="147" t="s">
        <v>2</v>
      </c>
      <c r="I9" s="145" t="s">
        <v>177</v>
      </c>
      <c r="J9" s="149">
        <v>3</v>
      </c>
      <c r="K9" s="154" t="s">
        <v>25</v>
      </c>
      <c r="L9" s="78"/>
      <c r="M9" s="74"/>
      <c r="N9" s="117" t="s">
        <v>29</v>
      </c>
      <c r="O9" s="156"/>
      <c r="P9" s="14">
        <f>IF(AND($D$31&lt;&gt;"",OR(O10&lt;&gt;"",O8&lt;&gt;"")),10*LOG10(PI()^2*P8^2*P7/$D$31^2),IF(O9&lt;&gt;"",O9,IF(AND(O15&lt;&gt;"",O14&lt;&gt;"",J22&lt;&gt;""),P15+10*LOG10(O14+J22),IF(AND(O15&lt;&gt;"",O14&lt;&gt;""),O15+10*LOG10(O14),""))))</f>
        <v>37.697724855912959</v>
      </c>
      <c r="Q9" s="118" t="s">
        <v>16</v>
      </c>
      <c r="R9" s="74"/>
      <c r="S9" s="389"/>
      <c r="T9" s="395"/>
      <c r="U9" s="395" t="s">
        <v>161</v>
      </c>
      <c r="V9" s="395">
        <v>4</v>
      </c>
      <c r="W9" s="395"/>
      <c r="X9" s="65"/>
      <c r="Y9" s="65"/>
      <c r="Z9" s="65"/>
      <c r="AA9" s="65"/>
      <c r="AB9" s="65"/>
      <c r="AC9" s="65"/>
      <c r="AD9" s="65"/>
      <c r="AE9" s="65"/>
      <c r="AF9" s="65"/>
      <c r="AG9" s="65"/>
      <c r="AH9" s="65"/>
      <c r="AI9" s="65"/>
      <c r="AJ9" s="390"/>
    </row>
    <row r="10" spans="1:36" ht="13.5" customHeight="1">
      <c r="A10" s="74"/>
      <c r="B10" s="108" t="s">
        <v>23</v>
      </c>
      <c r="C10" s="369">
        <v>0.55000000000000004</v>
      </c>
      <c r="D10" s="22">
        <f>IF(C10&lt;&gt;"",C10,0.55)</f>
        <v>0.55000000000000004</v>
      </c>
      <c r="E10" s="109"/>
      <c r="F10" s="74"/>
      <c r="G10" s="74"/>
      <c r="H10" s="147" t="s">
        <v>3</v>
      </c>
      <c r="I10" s="146" t="s">
        <v>179</v>
      </c>
      <c r="J10" s="149"/>
      <c r="K10" s="154" t="s">
        <v>25</v>
      </c>
      <c r="L10" s="40"/>
      <c r="M10" s="74"/>
      <c r="N10" s="117" t="s">
        <v>31</v>
      </c>
      <c r="O10" s="156"/>
      <c r="P10" s="14">
        <f>IF(O10&lt;&gt;"",O10,IF($D$30="","",IF(O8&lt;&gt;"",21/$D$30/O8,IF(P9&lt;&gt;"",21/$D$30/SQRT(10^(P9/10)*$D$31^2/PI()^2/P7),""))))</f>
        <v>2.4</v>
      </c>
      <c r="Q10" s="118" t="s">
        <v>25</v>
      </c>
      <c r="R10" s="74"/>
      <c r="S10" s="389"/>
      <c r="T10" s="395"/>
      <c r="U10" s="395" t="s">
        <v>162</v>
      </c>
      <c r="V10" s="395">
        <v>7.5</v>
      </c>
      <c r="W10" s="395"/>
      <c r="X10" s="65"/>
      <c r="Y10" s="65"/>
      <c r="Z10" s="65"/>
      <c r="AA10" s="65"/>
      <c r="AB10" s="65"/>
      <c r="AC10" s="65"/>
      <c r="AD10" s="65"/>
      <c r="AE10" s="65"/>
      <c r="AF10" s="65"/>
      <c r="AG10" s="65"/>
      <c r="AH10" s="65"/>
      <c r="AI10" s="65"/>
      <c r="AJ10" s="390"/>
    </row>
    <row r="11" spans="1:36" ht="13.5" customHeight="1">
      <c r="A11" s="74"/>
      <c r="B11" s="108" t="s">
        <v>26</v>
      </c>
      <c r="C11" s="156">
        <v>0.57676767676767682</v>
      </c>
      <c r="D11" s="23">
        <f>IF(AND(C13&lt;&gt;"",$D$30&lt;&gt;""),21/$D$30/C13,IF(C11&lt;&gt;"",C11,IF(AND(D12&lt;&gt;"",D31&lt;&gt;""),SQRT(10^(D12/10)*$D$31^2/PI()^2/D10),"")))</f>
        <v>0.57676767676767682</v>
      </c>
      <c r="E11" s="109" t="s">
        <v>14</v>
      </c>
      <c r="F11" s="74"/>
      <c r="G11" s="74"/>
      <c r="H11" s="66"/>
      <c r="I11" s="67"/>
      <c r="J11" s="67"/>
      <c r="K11" s="68"/>
      <c r="L11" s="40"/>
      <c r="M11" s="74"/>
      <c r="N11" s="117" t="s">
        <v>34</v>
      </c>
      <c r="O11" s="156"/>
      <c r="P11" s="15">
        <f>IF(P10&lt;&gt;"",0.1*P10,"")</f>
        <v>0.24</v>
      </c>
      <c r="Q11" s="118" t="s">
        <v>25</v>
      </c>
      <c r="R11" s="74"/>
      <c r="S11" s="389"/>
      <c r="T11" s="395"/>
      <c r="U11" s="395" t="s">
        <v>163</v>
      </c>
      <c r="V11" s="395">
        <v>12.5</v>
      </c>
      <c r="W11" s="395"/>
      <c r="X11" s="65"/>
      <c r="Y11" s="65"/>
      <c r="Z11" s="65"/>
      <c r="AA11" s="65"/>
      <c r="AB11" s="65"/>
      <c r="AC11" s="65"/>
      <c r="AD11" s="65"/>
      <c r="AE11" s="65"/>
      <c r="AF11" s="65"/>
      <c r="AG11" s="65"/>
      <c r="AH11" s="65"/>
      <c r="AI11" s="65"/>
      <c r="AJ11" s="390"/>
    </row>
    <row r="12" spans="1:36" ht="13.5" customHeight="1">
      <c r="A12" s="74"/>
      <c r="B12" s="108" t="s">
        <v>29</v>
      </c>
      <c r="C12" s="156"/>
      <c r="D12" s="23">
        <f>IF(AND($D$31&lt;&gt;"",OR(C13&lt;&gt;"",C11&lt;&gt;"")),10*LOG10(PI()^2*D11^2*D10/$D$31^2),IF(C12&lt;&gt;"",C12,IF(AND(C14&lt;&gt;"",C8&lt;&gt;""),C14-C8-D9,"")))</f>
        <v>20.98902873667328</v>
      </c>
      <c r="E12" s="109" t="s">
        <v>16</v>
      </c>
      <c r="F12" s="74"/>
      <c r="G12" s="74"/>
      <c r="H12" s="563" t="s">
        <v>166</v>
      </c>
      <c r="I12" s="564"/>
      <c r="J12" s="564"/>
      <c r="K12" s="565"/>
      <c r="L12" s="40"/>
      <c r="M12" s="74"/>
      <c r="N12" s="117" t="s">
        <v>35</v>
      </c>
      <c r="O12" s="80"/>
      <c r="P12" s="14">
        <f>IF(AND(P11&lt;&gt;"",P10&lt;&gt;""),-12*(P11/P10)^2,"")</f>
        <v>-0.12000000000000002</v>
      </c>
      <c r="Q12" s="118" t="s">
        <v>16</v>
      </c>
      <c r="R12" s="74"/>
      <c r="S12" s="389"/>
      <c r="T12" s="395"/>
      <c r="U12" s="395" t="s">
        <v>164</v>
      </c>
      <c r="V12" s="395">
        <v>19</v>
      </c>
      <c r="W12" s="395"/>
      <c r="X12" s="65"/>
      <c r="Y12" s="65"/>
      <c r="Z12" s="65"/>
      <c r="AA12" s="65"/>
      <c r="AB12" s="65"/>
      <c r="AC12" s="65"/>
      <c r="AD12" s="65"/>
      <c r="AE12" s="65"/>
      <c r="AF12" s="65"/>
      <c r="AG12" s="65"/>
      <c r="AH12" s="65"/>
      <c r="AI12" s="65"/>
      <c r="AJ12" s="390"/>
    </row>
    <row r="13" spans="1:36" ht="13.5" customHeight="1">
      <c r="A13" s="74"/>
      <c r="B13" s="108" t="s">
        <v>31</v>
      </c>
      <c r="C13" s="156"/>
      <c r="D13" s="23">
        <f>IF(C13&lt;&gt;"",C13,IF($D$30="","",IF(C11&lt;&gt;"",21/$D$30/C11,IF(D12&lt;&gt;"",21/$D$30/SQRT(10^(D12/10)*$D$31^2/PI()^2/D10),""))))</f>
        <v>14.563922942206654</v>
      </c>
      <c r="E13" s="109" t="s">
        <v>25</v>
      </c>
      <c r="F13" s="74"/>
      <c r="G13" s="74"/>
      <c r="H13" s="71" t="str">
        <f>IF(I5="Earth", "Altitude","Slant Range")</f>
        <v>Altitude</v>
      </c>
      <c r="I13" s="157">
        <v>500</v>
      </c>
      <c r="J13" s="329">
        <f>IF(I13&lt;&gt;"",I13,IF(I5="Earth",IF(AND(J7&lt;&gt;"",J7&lt;&gt;"Ellipse"),J7,IF(J8&lt;&gt;"",J8,"")),ABS(Constants!L32-VLOOKUP(I5,Constants!K29:U39,2,FALSE))*149597871))</f>
        <v>500</v>
      </c>
      <c r="K13" s="34" t="s">
        <v>1</v>
      </c>
      <c r="L13" s="59"/>
      <c r="M13" s="74"/>
      <c r="N13" s="117"/>
      <c r="O13" s="80"/>
      <c r="P13" s="80"/>
      <c r="Q13" s="382"/>
      <c r="R13" s="74"/>
      <c r="S13" s="389"/>
      <c r="T13" s="395"/>
      <c r="U13" s="395" t="s">
        <v>158</v>
      </c>
      <c r="V13" s="395">
        <f>C23</f>
        <v>0</v>
      </c>
      <c r="W13" s="395"/>
      <c r="X13" s="65"/>
      <c r="Y13" s="65"/>
      <c r="Z13" s="65"/>
      <c r="AA13" s="65"/>
      <c r="AB13" s="65"/>
      <c r="AC13" s="65"/>
      <c r="AD13" s="65"/>
      <c r="AE13" s="65"/>
      <c r="AF13" s="65"/>
      <c r="AG13" s="65"/>
      <c r="AH13" s="65"/>
      <c r="AI13" s="65"/>
      <c r="AJ13" s="390"/>
    </row>
    <row r="14" spans="1:36" ht="13.5" customHeight="1">
      <c r="A14" s="74"/>
      <c r="B14" s="108" t="s">
        <v>36</v>
      </c>
      <c r="C14" s="156"/>
      <c r="D14" s="23">
        <f>IF(C14&lt;&gt;"",C14,IF(AND(D8&lt;&gt;"",D9&lt;&gt;"",D12&lt;&gt;""),D8+D9+D12,""))</f>
        <v>17.98902873667328</v>
      </c>
      <c r="E14" s="109" t="s">
        <v>16</v>
      </c>
      <c r="F14" s="74"/>
      <c r="G14" s="74"/>
      <c r="H14" s="71" t="s">
        <v>24</v>
      </c>
      <c r="I14" s="81"/>
      <c r="J14" s="31">
        <f>IF(J13&lt;&gt;"",ASIN(Earth_Radius/(Earth_Radius+J13))*180/PI(),"")</f>
        <v>68.018673814446856</v>
      </c>
      <c r="K14" s="34" t="s">
        <v>25</v>
      </c>
      <c r="L14" s="40"/>
      <c r="M14" s="74"/>
      <c r="N14" s="117" t="s">
        <v>39</v>
      </c>
      <c r="O14" s="156"/>
      <c r="P14" s="14">
        <f>IF(AND(O15&lt;&gt;"",J22&lt;&gt;"",P9&lt;&gt;""),10^((P9-O15)/10)-J22,IF(AND(O15&lt;&gt;"",P9&lt;&gt;""),10^((P9-O15)/10),IF(O14&lt;&gt;"",O14,260)))</f>
        <v>260</v>
      </c>
      <c r="Q14" s="118" t="s">
        <v>40</v>
      </c>
      <c r="R14" s="74"/>
      <c r="S14" s="389"/>
      <c r="T14" s="65"/>
      <c r="U14" s="65"/>
      <c r="V14" s="65"/>
      <c r="W14" s="65"/>
      <c r="X14" s="65"/>
      <c r="Y14" s="65"/>
      <c r="Z14" s="65"/>
      <c r="AA14" s="65"/>
      <c r="AB14" s="65"/>
      <c r="AC14" s="65"/>
      <c r="AD14" s="65"/>
      <c r="AE14" s="65"/>
      <c r="AF14" s="65"/>
      <c r="AG14" s="65"/>
      <c r="AH14" s="65"/>
      <c r="AI14" s="65"/>
      <c r="AJ14" s="390"/>
    </row>
    <row r="15" spans="1:36" ht="13.5" customHeight="1">
      <c r="A15" s="74"/>
      <c r="B15" s="108"/>
      <c r="C15" s="82"/>
      <c r="D15" s="82"/>
      <c r="E15" s="110"/>
      <c r="F15" s="74"/>
      <c r="G15" s="74"/>
      <c r="H15" s="71" t="s">
        <v>28</v>
      </c>
      <c r="I15" s="156"/>
      <c r="J15" s="31">
        <f>IF(I15&lt;&gt;"",I15,IF(J9&lt;&gt;"",J9,IF(OR(I16&lt;&gt;"",J10&lt;&gt;""),ACOS(SIN(J16*PI()/180)/SIN(J14*PI()/180))*180/PI(),"")))</f>
        <v>3</v>
      </c>
      <c r="K15" s="34" t="s">
        <v>25</v>
      </c>
      <c r="L15" s="40"/>
      <c r="M15" s="74"/>
      <c r="N15" s="117" t="s">
        <v>42</v>
      </c>
      <c r="O15" s="156"/>
      <c r="P15" s="14">
        <f>IF(AND(J22&lt;&gt;"",P9&lt;&gt;"",P14&lt;&gt;""),P9-10*LOG10(P14+J22),"")</f>
        <v>13.547991376204781</v>
      </c>
      <c r="Q15" s="118" t="s">
        <v>16</v>
      </c>
      <c r="R15" s="74"/>
      <c r="S15" s="389"/>
      <c r="T15" s="65"/>
      <c r="U15" s="65"/>
      <c r="V15" s="65"/>
      <c r="W15" s="65"/>
      <c r="X15" s="65"/>
      <c r="Y15" s="65"/>
      <c r="Z15" s="65"/>
      <c r="AA15" s="65"/>
      <c r="AB15" s="65"/>
      <c r="AC15" s="65"/>
      <c r="AD15" s="65"/>
      <c r="AE15" s="65"/>
      <c r="AF15" s="65"/>
      <c r="AG15" s="65"/>
      <c r="AH15" s="65"/>
      <c r="AI15" s="65"/>
      <c r="AJ15" s="390"/>
    </row>
    <row r="16" spans="1:36" ht="13.5" customHeight="1">
      <c r="A16" s="74"/>
      <c r="B16" s="108" t="s">
        <v>34</v>
      </c>
      <c r="C16" s="156">
        <v>0.1</v>
      </c>
      <c r="D16" s="24">
        <f>IF(C16&lt;&gt;"",C16,"")</f>
        <v>0.1</v>
      </c>
      <c r="E16" s="109" t="s">
        <v>25</v>
      </c>
      <c r="F16" s="74"/>
      <c r="G16" s="74"/>
      <c r="H16" s="71" t="s">
        <v>30</v>
      </c>
      <c r="I16" s="156"/>
      <c r="J16" s="31">
        <f>IF(I16&lt;&gt;"",I16,IF(J10&lt;&gt;"",J10,IF(OR(I15&lt;&gt;"",J9&lt;&gt;""),ASIN(COS(J15*PI()/180)*SIN(J14*PI()/180))*180/PI(),"")))</f>
        <v>67.824953793633767</v>
      </c>
      <c r="K16" s="34" t="s">
        <v>25</v>
      </c>
      <c r="L16" s="40"/>
      <c r="M16" s="74"/>
      <c r="N16" s="117" t="s">
        <v>365</v>
      </c>
      <c r="O16" s="80"/>
      <c r="P16" s="384">
        <f>(10^(J28/10)*(10^((J30+J31)/10)))/(4*PI()*(J18*1000)^2)</f>
        <v>7.0139659665024313E-13</v>
      </c>
      <c r="Q16" s="382"/>
      <c r="R16" s="74"/>
      <c r="S16" s="389"/>
      <c r="T16" s="65"/>
      <c r="U16" s="65"/>
      <c r="V16" s="65"/>
      <c r="W16" s="65"/>
      <c r="X16" s="65"/>
      <c r="Y16" s="65"/>
      <c r="Z16" s="65"/>
      <c r="AA16" s="65"/>
      <c r="AB16" s="65"/>
      <c r="AC16" s="65"/>
      <c r="AD16" s="65"/>
      <c r="AE16" s="65"/>
      <c r="AF16" s="65"/>
      <c r="AG16" s="65"/>
      <c r="AH16" s="65"/>
      <c r="AI16" s="65"/>
      <c r="AJ16" s="390"/>
    </row>
    <row r="17" spans="1:36" ht="13.5" customHeight="1" thickBot="1">
      <c r="A17" s="74"/>
      <c r="B17" s="108" t="s">
        <v>35</v>
      </c>
      <c r="C17" s="82"/>
      <c r="D17" s="23">
        <f>IF(AND(D16&lt;&gt;"",D13&lt;&gt;""),-12*(D16/D13)^2,"")</f>
        <v>-5.6574992000677448E-4</v>
      </c>
      <c r="E17" s="109" t="s">
        <v>16</v>
      </c>
      <c r="F17" s="74"/>
      <c r="G17" s="74"/>
      <c r="H17" s="71" t="s">
        <v>32</v>
      </c>
      <c r="I17" s="81"/>
      <c r="J17" s="31">
        <f>IF(AND(J15&lt;&gt;"",J16&lt;&gt;""),90-J15-J16,"")</f>
        <v>19.175046206366233</v>
      </c>
      <c r="K17" s="34" t="s">
        <v>25</v>
      </c>
      <c r="L17" s="78"/>
      <c r="M17" s="74"/>
      <c r="N17" s="119" t="s">
        <v>364</v>
      </c>
      <c r="O17" s="155"/>
      <c r="P17" s="385">
        <f>IF(O17="",P16*((PI()*P8^2)/4)*P7,O17)</f>
        <v>4.7237582599014083E-12</v>
      </c>
      <c r="Q17" s="383"/>
      <c r="R17" s="74"/>
      <c r="S17" s="389"/>
      <c r="T17" s="65"/>
      <c r="U17" s="65"/>
      <c r="V17" s="65"/>
      <c r="W17" s="65"/>
      <c r="X17" s="394"/>
      <c r="Y17" s="65"/>
      <c r="Z17" s="65"/>
      <c r="AA17" s="65"/>
      <c r="AB17" s="65"/>
      <c r="AC17" s="65"/>
      <c r="AD17" s="65"/>
      <c r="AE17" s="65"/>
      <c r="AF17" s="65"/>
      <c r="AG17" s="65"/>
      <c r="AH17" s="65"/>
      <c r="AI17" s="65"/>
      <c r="AJ17" s="390"/>
    </row>
    <row r="18" spans="1:36" ht="13.5" customHeight="1" thickTop="1" thickBot="1">
      <c r="A18" s="74"/>
      <c r="B18" s="108"/>
      <c r="C18" s="82"/>
      <c r="D18" s="82"/>
      <c r="E18" s="110"/>
      <c r="F18" s="74"/>
      <c r="G18" s="74"/>
      <c r="H18" s="71" t="s">
        <v>33</v>
      </c>
      <c r="I18" s="81"/>
      <c r="J18" s="329">
        <f>IF(AND(J17&lt;&gt;"",J16&lt;&gt;""),Earth_Radius*SIN(J17*PI()/180)/SIN(J16*PI()/180),"")</f>
        <v>2262.2610066214315</v>
      </c>
      <c r="K18" s="34" t="s">
        <v>1</v>
      </c>
      <c r="L18" s="78"/>
      <c r="M18" s="74"/>
      <c r="N18" s="74"/>
      <c r="O18" s="74"/>
      <c r="P18" s="74"/>
      <c r="Q18" s="40"/>
      <c r="R18" s="74"/>
      <c r="S18" s="389"/>
      <c r="T18" s="65"/>
      <c r="U18" s="65"/>
      <c r="V18" s="65"/>
      <c r="W18" s="65"/>
      <c r="X18" s="65"/>
      <c r="Y18" s="65"/>
      <c r="Z18" s="65"/>
      <c r="AA18" s="65"/>
      <c r="AB18" s="65"/>
      <c r="AC18" s="65"/>
      <c r="AD18" s="65"/>
      <c r="AE18" s="65"/>
      <c r="AF18" s="65"/>
      <c r="AG18" s="65"/>
      <c r="AH18" s="65"/>
      <c r="AI18" s="65"/>
      <c r="AJ18" s="390"/>
    </row>
    <row r="19" spans="1:36" ht="13.5" customHeight="1" thickTop="1">
      <c r="A19" s="74"/>
      <c r="B19" s="108" t="s">
        <v>57</v>
      </c>
      <c r="C19" s="156"/>
      <c r="D19" s="22">
        <f>IF(C19&lt;&gt;"",C19,1)</f>
        <v>1</v>
      </c>
      <c r="E19" s="110"/>
      <c r="F19" s="74"/>
      <c r="G19" s="74"/>
      <c r="H19" s="71"/>
      <c r="I19" s="81"/>
      <c r="J19" s="27"/>
      <c r="K19" s="34"/>
      <c r="L19" s="78"/>
      <c r="M19" s="74"/>
      <c r="N19" s="557" t="s">
        <v>58</v>
      </c>
      <c r="O19" s="558"/>
      <c r="P19" s="558"/>
      <c r="Q19" s="559"/>
      <c r="R19" s="74"/>
      <c r="S19" s="389"/>
      <c r="T19" s="65"/>
      <c r="U19" s="65"/>
      <c r="V19" s="65"/>
      <c r="W19" s="65"/>
      <c r="X19" s="65"/>
      <c r="Y19" s="65"/>
      <c r="Z19" s="65"/>
      <c r="AA19" s="65"/>
      <c r="AB19" s="65"/>
      <c r="AC19" s="65"/>
      <c r="AD19" s="65"/>
      <c r="AE19" s="65"/>
      <c r="AF19" s="65"/>
      <c r="AG19" s="65"/>
      <c r="AH19" s="65"/>
      <c r="AI19" s="65"/>
      <c r="AJ19" s="390"/>
    </row>
    <row r="20" spans="1:36" ht="13.5" customHeight="1" thickBot="1">
      <c r="A20" s="74"/>
      <c r="B20" s="111"/>
      <c r="C20" s="112"/>
      <c r="D20" s="113"/>
      <c r="E20" s="114"/>
      <c r="F20" s="74"/>
      <c r="G20" s="74"/>
      <c r="H20" s="71" t="s">
        <v>37</v>
      </c>
      <c r="I20" s="156"/>
      <c r="J20" s="29">
        <f>IF(I20&lt;&gt;"",IF(I20&lt;=0,I20,-I20),IF(D30&lt;&gt;"",IF(D30&lt;=10,-0.06,IF(D30&lt;=40,-0.6,"")),""))</f>
        <v>-0.06</v>
      </c>
      <c r="K20" s="34" t="s">
        <v>16</v>
      </c>
      <c r="L20" s="78"/>
      <c r="M20" s="74"/>
      <c r="N20" s="122"/>
      <c r="O20" s="86"/>
      <c r="P20" s="86"/>
      <c r="Q20" s="123"/>
      <c r="R20" s="74"/>
      <c r="S20" s="389"/>
      <c r="T20" s="65"/>
      <c r="U20" s="65"/>
      <c r="V20" s="65"/>
      <c r="W20" s="65"/>
      <c r="X20" s="65"/>
      <c r="Y20" s="65"/>
      <c r="Z20" s="65"/>
      <c r="AA20" s="65"/>
      <c r="AB20" s="65"/>
      <c r="AC20" s="65"/>
      <c r="AD20" s="65"/>
      <c r="AE20" s="65"/>
      <c r="AF20" s="65"/>
      <c r="AG20" s="65"/>
      <c r="AH20" s="65"/>
      <c r="AI20" s="65"/>
      <c r="AJ20" s="390"/>
    </row>
    <row r="21" spans="1:36" ht="13.5" customHeight="1" thickTop="1" thickBot="1">
      <c r="A21" s="74"/>
      <c r="B21" s="74"/>
      <c r="C21" s="74"/>
      <c r="D21" s="74"/>
      <c r="E21" s="78"/>
      <c r="F21" s="74"/>
      <c r="G21" s="74"/>
      <c r="H21" s="71" t="s">
        <v>38</v>
      </c>
      <c r="I21" s="156">
        <v>0</v>
      </c>
      <c r="J21" s="29">
        <f>IF(I21&lt;&gt;"",IF(I21&lt;=0,I21,-I21),IF(D30&lt;&gt;"",IF(D30&lt;=7,0,""),""))</f>
        <v>0</v>
      </c>
      <c r="K21" s="34" t="s">
        <v>16</v>
      </c>
      <c r="L21" s="78"/>
      <c r="M21" s="74"/>
      <c r="N21" s="551" t="s">
        <v>166</v>
      </c>
      <c r="O21" s="552"/>
      <c r="P21" s="552"/>
      <c r="Q21" s="553"/>
      <c r="R21" s="74"/>
      <c r="S21" s="389"/>
      <c r="T21" s="65"/>
      <c r="U21" s="65"/>
      <c r="V21" s="65"/>
      <c r="W21" s="65"/>
      <c r="X21" s="65"/>
      <c r="Y21" s="65"/>
      <c r="Z21" s="65"/>
      <c r="AA21" s="65"/>
      <c r="AB21" s="65"/>
      <c r="AC21" s="65"/>
      <c r="AD21" s="65"/>
      <c r="AE21" s="65"/>
      <c r="AF21" s="65"/>
      <c r="AG21" s="65"/>
      <c r="AH21" s="65"/>
      <c r="AI21" s="65"/>
      <c r="AJ21" s="390"/>
    </row>
    <row r="22" spans="1:36" ht="13.5" customHeight="1" thickTop="1">
      <c r="A22" s="74"/>
      <c r="B22" s="560" t="s">
        <v>157</v>
      </c>
      <c r="C22" s="561"/>
      <c r="D22" s="561"/>
      <c r="E22" s="562"/>
      <c r="F22" s="74"/>
      <c r="G22" s="74"/>
      <c r="H22" s="71" t="s">
        <v>41</v>
      </c>
      <c r="I22" s="83"/>
      <c r="J22" s="31">
        <f>IF(J21&lt;&gt;"",Rain_Temp*(1-10^(J21/10)),0)</f>
        <v>0</v>
      </c>
      <c r="K22" s="34" t="s">
        <v>40</v>
      </c>
      <c r="L22" s="78"/>
      <c r="M22" s="74"/>
      <c r="N22" s="122" t="s">
        <v>59</v>
      </c>
      <c r="O22" s="86"/>
      <c r="P22" s="86"/>
      <c r="Q22" s="123"/>
      <c r="R22" s="74"/>
      <c r="S22" s="389"/>
      <c r="T22" s="65"/>
      <c r="U22" s="65"/>
      <c r="V22" s="65"/>
      <c r="W22" s="65"/>
      <c r="X22" s="65"/>
      <c r="Y22" s="65"/>
      <c r="Z22" s="65"/>
      <c r="AA22" s="65"/>
      <c r="AB22" s="65"/>
      <c r="AC22" s="65"/>
      <c r="AD22" s="65"/>
      <c r="AE22" s="65"/>
      <c r="AF22" s="65"/>
      <c r="AG22" s="65"/>
      <c r="AH22" s="65"/>
      <c r="AI22" s="65"/>
      <c r="AJ22" s="390"/>
    </row>
    <row r="23" spans="1:36" ht="13.5" customHeight="1" thickBot="1">
      <c r="A23" s="74"/>
      <c r="B23" s="84"/>
      <c r="C23" s="85"/>
      <c r="D23" s="85"/>
      <c r="E23" s="55"/>
      <c r="F23" s="40"/>
      <c r="G23" s="74"/>
      <c r="H23" s="88"/>
      <c r="I23" s="89"/>
      <c r="J23" s="89"/>
      <c r="K23" s="90"/>
      <c r="L23" s="78"/>
      <c r="M23" s="74"/>
      <c r="N23" s="122" t="s">
        <v>47</v>
      </c>
      <c r="O23" s="156"/>
      <c r="P23" s="47">
        <f>IF(O23&lt;&gt;"",O23,IF(D11&lt;&gt;"",PI()*(D11/2)^2*10.25,""))</f>
        <v>2.6780308402925637</v>
      </c>
      <c r="Q23" s="123" t="s">
        <v>48</v>
      </c>
      <c r="R23" s="74"/>
      <c r="S23" s="389"/>
      <c r="T23" s="65"/>
      <c r="U23" s="65"/>
      <c r="V23" s="65"/>
      <c r="W23" s="65"/>
      <c r="X23" s="65"/>
      <c r="Y23" s="65"/>
      <c r="Z23" s="65"/>
      <c r="AA23" s="65"/>
      <c r="AB23" s="65"/>
      <c r="AC23" s="65"/>
      <c r="AD23" s="65"/>
      <c r="AE23" s="65"/>
      <c r="AF23" s="65"/>
      <c r="AG23" s="65"/>
      <c r="AH23" s="65"/>
      <c r="AI23" s="65"/>
      <c r="AJ23" s="390"/>
    </row>
    <row r="24" spans="1:36" ht="13.5" customHeight="1" thickTop="1" thickBot="1">
      <c r="A24" s="74"/>
      <c r="B24" s="533" t="s">
        <v>167</v>
      </c>
      <c r="C24" s="534"/>
      <c r="D24" s="534"/>
      <c r="E24" s="535"/>
      <c r="F24" s="40"/>
      <c r="G24" s="74"/>
      <c r="H24" s="74"/>
      <c r="I24" s="74"/>
      <c r="J24" s="74"/>
      <c r="K24" s="78"/>
      <c r="L24" s="78"/>
      <c r="M24" s="74"/>
      <c r="N24" s="122"/>
      <c r="O24" s="86"/>
      <c r="P24" s="86"/>
      <c r="Q24" s="123"/>
      <c r="R24" s="74"/>
      <c r="S24" s="389"/>
      <c r="T24" s="65"/>
      <c r="U24" s="65"/>
      <c r="V24" s="65"/>
      <c r="W24" s="65"/>
      <c r="X24" s="65"/>
      <c r="Y24" s="65"/>
      <c r="Z24" s="65"/>
      <c r="AA24" s="65"/>
      <c r="AB24" s="65"/>
      <c r="AC24" s="65"/>
      <c r="AD24" s="65"/>
      <c r="AE24" s="65"/>
      <c r="AF24" s="65"/>
      <c r="AG24" s="65"/>
      <c r="AH24" s="65"/>
      <c r="AI24" s="65"/>
      <c r="AJ24" s="390"/>
    </row>
    <row r="25" spans="1:36" ht="13.5" customHeight="1" thickTop="1">
      <c r="A25" s="74"/>
      <c r="B25" s="148" t="s">
        <v>5</v>
      </c>
      <c r="C25" s="145" t="s">
        <v>176</v>
      </c>
      <c r="D25" s="149"/>
      <c r="E25" s="150" t="s">
        <v>169</v>
      </c>
      <c r="F25" s="40"/>
      <c r="G25" s="74"/>
      <c r="H25" s="554" t="s">
        <v>43</v>
      </c>
      <c r="I25" s="555"/>
      <c r="J25" s="555"/>
      <c r="K25" s="556"/>
      <c r="L25" s="78"/>
      <c r="M25" s="74"/>
      <c r="N25" s="122"/>
      <c r="O25" s="94" t="s">
        <v>60</v>
      </c>
      <c r="P25" s="94" t="s">
        <v>61</v>
      </c>
      <c r="Q25" s="123"/>
      <c r="R25" s="74"/>
      <c r="S25" s="389"/>
      <c r="T25" s="65"/>
      <c r="U25" s="65"/>
      <c r="V25" s="65"/>
      <c r="W25" s="65"/>
      <c r="X25" s="65"/>
      <c r="Y25" s="65"/>
      <c r="Z25" s="65"/>
      <c r="AA25" s="65"/>
      <c r="AB25" s="65"/>
      <c r="AC25" s="65"/>
      <c r="AD25" s="65"/>
      <c r="AE25" s="65"/>
      <c r="AF25" s="65"/>
      <c r="AG25" s="65"/>
      <c r="AH25" s="65"/>
      <c r="AI25" s="65"/>
      <c r="AJ25" s="390"/>
    </row>
    <row r="26" spans="1:36" ht="13.5" customHeight="1">
      <c r="A26" s="74"/>
      <c r="B26" s="148" t="s">
        <v>6</v>
      </c>
      <c r="C26" s="145" t="s">
        <v>176</v>
      </c>
      <c r="D26" s="149"/>
      <c r="E26" s="150" t="s">
        <v>169</v>
      </c>
      <c r="F26" s="40"/>
      <c r="G26" s="74"/>
      <c r="H26" s="91"/>
      <c r="I26" s="92"/>
      <c r="J26" s="92"/>
      <c r="K26" s="93"/>
      <c r="L26" s="78"/>
      <c r="M26" s="74"/>
      <c r="N26" s="122" t="s">
        <v>62</v>
      </c>
      <c r="O26" s="47">
        <f>IF(D7&lt;&gt;"",10^(Constants!M71+Constants!M72*LOG10(D7)+Constants!M73*(LOG10(D7))^2),"")</f>
        <v>2.0180395793625046</v>
      </c>
      <c r="P26" s="47">
        <f>IF(D7&lt;&gt;"",IF(D7&lt;7,1.1,10^(Constants!M66+Constants!M67*LOG10(D7)+Constants!M68*(LOG10(D7))^2)),"")</f>
        <v>1.1000000000000001</v>
      </c>
      <c r="Q26" s="123" t="s">
        <v>48</v>
      </c>
      <c r="R26" s="74"/>
      <c r="S26" s="389"/>
      <c r="T26" s="65"/>
      <c r="U26" s="65"/>
      <c r="V26" s="65"/>
      <c r="W26" s="65"/>
      <c r="X26" s="65"/>
      <c r="Y26" s="65"/>
      <c r="Z26" s="65"/>
      <c r="AA26" s="65"/>
      <c r="AB26" s="65"/>
      <c r="AC26" s="65"/>
      <c r="AD26" s="65"/>
      <c r="AE26" s="65"/>
      <c r="AF26" s="65"/>
      <c r="AG26" s="65"/>
      <c r="AH26" s="65"/>
      <c r="AI26" s="65"/>
      <c r="AJ26" s="390"/>
    </row>
    <row r="27" spans="1:36" ht="13.5" customHeight="1">
      <c r="A27" s="74"/>
      <c r="B27" s="84"/>
      <c r="C27" s="85"/>
      <c r="D27" s="85"/>
      <c r="E27" s="55"/>
      <c r="F27" s="40"/>
      <c r="G27" s="74"/>
      <c r="H27" s="539" t="s">
        <v>166</v>
      </c>
      <c r="I27" s="540"/>
      <c r="J27" s="540"/>
      <c r="K27" s="541"/>
      <c r="L27" s="78"/>
      <c r="M27" s="74"/>
      <c r="N27" s="122" t="s">
        <v>63</v>
      </c>
      <c r="O27" s="47">
        <f>IF(D7&lt;&gt;"",IF(D7&lt;0.2,8.4,10^(Constants!H71+Constants!H72*LOG10(D7)+Constants!H73*(LOG10(D7))^2)),"")</f>
        <v>10.043314225841678</v>
      </c>
      <c r="P27" s="47">
        <f>IF(D7&lt;&gt;"",10^(Constants!H66+Constants!H67*LOG10(D7)+Constants!H68*(LOG10(D7))^2),"")</f>
        <v>15.238570839030032</v>
      </c>
      <c r="Q27" s="123" t="s">
        <v>21</v>
      </c>
      <c r="R27" s="74"/>
      <c r="S27" s="389"/>
      <c r="T27" s="65"/>
      <c r="U27" s="65"/>
      <c r="V27" s="65"/>
      <c r="W27" s="65"/>
      <c r="X27" s="65"/>
      <c r="Y27" s="65"/>
      <c r="Z27" s="65"/>
      <c r="AA27" s="65"/>
      <c r="AB27" s="65"/>
      <c r="AC27" s="65"/>
      <c r="AD27" s="65"/>
      <c r="AE27" s="65"/>
      <c r="AF27" s="65"/>
      <c r="AG27" s="65"/>
      <c r="AH27" s="65"/>
      <c r="AI27" s="65"/>
      <c r="AJ27" s="390"/>
    </row>
    <row r="28" spans="1:36" ht="13.5" customHeight="1">
      <c r="A28" s="74"/>
      <c r="B28" s="542" t="s">
        <v>166</v>
      </c>
      <c r="C28" s="543"/>
      <c r="D28" s="543"/>
      <c r="E28" s="544"/>
      <c r="F28" s="40"/>
      <c r="G28" s="74"/>
      <c r="H28" s="91" t="s">
        <v>36</v>
      </c>
      <c r="I28" s="92"/>
      <c r="J28" s="18">
        <f>IF(D14&lt;&gt;"",D14,"")</f>
        <v>17.98902873667328</v>
      </c>
      <c r="K28" s="43" t="s">
        <v>16</v>
      </c>
      <c r="L28" s="78"/>
      <c r="M28" s="74"/>
      <c r="N28" s="122" t="s">
        <v>64</v>
      </c>
      <c r="O28" s="47">
        <f>IF(O27&lt;&gt;"",O27*D19,"")</f>
        <v>10.043314225841678</v>
      </c>
      <c r="P28" s="47">
        <f>IF(P27&lt;&gt;"",P27*D19,"")</f>
        <v>15.238570839030032</v>
      </c>
      <c r="Q28" s="123" t="s">
        <v>21</v>
      </c>
      <c r="R28" s="74"/>
      <c r="S28" s="389"/>
      <c r="T28" s="65"/>
      <c r="U28" s="65"/>
      <c r="V28" s="65"/>
      <c r="W28" s="65"/>
      <c r="X28" s="65"/>
      <c r="Y28" s="65"/>
      <c r="Z28" s="65"/>
      <c r="AA28" s="65"/>
      <c r="AB28" s="65"/>
      <c r="AC28" s="65"/>
      <c r="AD28" s="65"/>
      <c r="AE28" s="65"/>
      <c r="AF28" s="65"/>
      <c r="AG28" s="65"/>
      <c r="AH28" s="65"/>
      <c r="AI28" s="65"/>
      <c r="AJ28" s="390"/>
    </row>
    <row r="29" spans="1:36" ht="13.5" customHeight="1">
      <c r="A29" s="74"/>
      <c r="B29" s="84" t="s">
        <v>173</v>
      </c>
      <c r="C29" s="85">
        <v>2</v>
      </c>
      <c r="D29" s="51"/>
      <c r="E29" s="55"/>
      <c r="F29" s="40"/>
      <c r="G29" s="74"/>
      <c r="H29" s="91" t="s">
        <v>46</v>
      </c>
      <c r="I29" s="92"/>
      <c r="J29" s="18">
        <f>IF(AND(D31&lt;&gt;"",J18&lt;&gt;""),10*LOG10((D31/4/PI()/J18/1000)^2),"")</f>
        <v>-167.49743759275501</v>
      </c>
      <c r="K29" s="43" t="s">
        <v>16</v>
      </c>
      <c r="L29" s="78"/>
      <c r="M29" s="74"/>
      <c r="N29" s="122"/>
      <c r="O29" s="86"/>
      <c r="P29" s="86"/>
      <c r="Q29" s="123"/>
      <c r="R29" s="74"/>
      <c r="S29" s="389"/>
      <c r="T29" s="65"/>
      <c r="U29" s="65"/>
      <c r="V29" s="65"/>
      <c r="W29" s="65"/>
      <c r="X29" s="65"/>
      <c r="Y29" s="65"/>
      <c r="Z29" s="65"/>
      <c r="AA29" s="65"/>
      <c r="AB29" s="65"/>
      <c r="AC29" s="65"/>
      <c r="AD29" s="65"/>
      <c r="AE29" s="65"/>
      <c r="AF29" s="65"/>
      <c r="AG29" s="65"/>
      <c r="AH29" s="65"/>
      <c r="AI29" s="65"/>
      <c r="AJ29" s="390"/>
    </row>
    <row r="30" spans="1:36" ht="13.5" customHeight="1">
      <c r="A30" s="74"/>
      <c r="B30" s="84" t="s">
        <v>8</v>
      </c>
      <c r="C30" s="156"/>
      <c r="D30" s="49">
        <f>IF(C30&lt;&gt;"",C30,IF(C31&lt;&gt;"",Speed_of_Light/C31/10^9,INDEX(V7:V13,C29)))</f>
        <v>2.5</v>
      </c>
      <c r="E30" s="55" t="s">
        <v>9</v>
      </c>
      <c r="F30" s="40"/>
      <c r="G30" s="74"/>
      <c r="H30" s="91" t="s">
        <v>49</v>
      </c>
      <c r="I30" s="92"/>
      <c r="J30" s="18">
        <f>IF(AND(J15&lt;&gt;"",J20&lt;&gt;""),J20/SIN(J15*PI()/180)-0.3,"")</f>
        <v>-1.4464393565578439</v>
      </c>
      <c r="K30" s="43" t="s">
        <v>16</v>
      </c>
      <c r="L30" s="78"/>
      <c r="M30" s="74"/>
      <c r="N30" s="548" t="s">
        <v>168</v>
      </c>
      <c r="O30" s="549"/>
      <c r="P30" s="549"/>
      <c r="Q30" s="550"/>
      <c r="R30" s="74"/>
      <c r="S30" s="389"/>
      <c r="T30" s="65"/>
      <c r="U30" s="65"/>
      <c r="V30" s="65"/>
      <c r="W30" s="65"/>
      <c r="X30" s="65"/>
      <c r="Y30" s="65"/>
      <c r="Z30" s="65"/>
      <c r="AA30" s="65"/>
      <c r="AB30" s="65"/>
      <c r="AC30" s="65"/>
      <c r="AD30" s="65"/>
      <c r="AE30" s="65"/>
      <c r="AF30" s="65"/>
      <c r="AG30" s="65"/>
      <c r="AH30" s="65"/>
      <c r="AI30" s="65"/>
      <c r="AJ30" s="390"/>
    </row>
    <row r="31" spans="1:36" ht="13.5" customHeight="1">
      <c r="A31" s="74"/>
      <c r="B31" s="84" t="s">
        <v>13</v>
      </c>
      <c r="C31" s="156"/>
      <c r="D31" s="50">
        <f>IF(D30&lt;&gt;"",Speed_of_Light/(D30*10^9),"")</f>
        <v>0.11991698319999999</v>
      </c>
      <c r="E31" s="55" t="s">
        <v>14</v>
      </c>
      <c r="F31" s="40"/>
      <c r="G31" s="74"/>
      <c r="H31" s="91" t="s">
        <v>38</v>
      </c>
      <c r="I31" s="92"/>
      <c r="J31" s="18">
        <f>IF(J21&lt;&gt;"",J21,"")</f>
        <v>0</v>
      </c>
      <c r="K31" s="43" t="s">
        <v>16</v>
      </c>
      <c r="L31" s="78"/>
      <c r="M31" s="74"/>
      <c r="N31" s="124" t="s">
        <v>154</v>
      </c>
      <c r="O31" s="87" t="s">
        <v>172</v>
      </c>
      <c r="P31" s="151">
        <f>P23</f>
        <v>2.6780308402925637</v>
      </c>
      <c r="Q31" s="153" t="s">
        <v>48</v>
      </c>
      <c r="R31" s="74"/>
      <c r="S31" s="389"/>
      <c r="T31" s="65"/>
      <c r="U31" s="65"/>
      <c r="V31" s="65"/>
      <c r="W31" s="65"/>
      <c r="X31" s="65"/>
      <c r="Y31" s="65"/>
      <c r="Z31" s="65"/>
      <c r="AA31" s="65"/>
      <c r="AB31" s="65"/>
      <c r="AC31" s="65"/>
      <c r="AD31" s="65"/>
      <c r="AE31" s="65"/>
      <c r="AF31" s="65"/>
      <c r="AG31" s="65"/>
      <c r="AH31" s="65"/>
      <c r="AI31" s="65"/>
      <c r="AJ31" s="390"/>
    </row>
    <row r="32" spans="1:36" ht="13.5" customHeight="1">
      <c r="A32" s="74"/>
      <c r="B32" s="84" t="s">
        <v>309</v>
      </c>
      <c r="C32" s="48"/>
      <c r="D32" s="330" t="s">
        <v>306</v>
      </c>
      <c r="E32" s="55"/>
      <c r="F32" s="40"/>
      <c r="G32" s="74"/>
      <c r="H32" s="91" t="s">
        <v>42</v>
      </c>
      <c r="I32" s="92"/>
      <c r="J32" s="18">
        <f>IF(P15&lt;&gt;"",P15,"")</f>
        <v>13.547991376204781</v>
      </c>
      <c r="K32" s="43" t="s">
        <v>16</v>
      </c>
      <c r="L32" s="78"/>
      <c r="M32" s="74"/>
      <c r="N32" s="124" t="s">
        <v>148</v>
      </c>
      <c r="O32" s="87" t="s">
        <v>172</v>
      </c>
      <c r="P32" s="151">
        <f>O26</f>
        <v>2.0180395793625046</v>
      </c>
      <c r="Q32" s="153" t="s">
        <v>48</v>
      </c>
      <c r="R32" s="74"/>
      <c r="S32" s="389"/>
      <c r="T32" s="65"/>
      <c r="U32" s="65"/>
      <c r="V32" s="65"/>
      <c r="W32" s="65"/>
      <c r="X32" s="65"/>
      <c r="Y32" s="65"/>
      <c r="Z32" s="65"/>
      <c r="AA32" s="65"/>
      <c r="AB32" s="65"/>
      <c r="AC32" s="65"/>
      <c r="AD32" s="65"/>
      <c r="AE32" s="65"/>
      <c r="AF32" s="65"/>
      <c r="AG32" s="65"/>
      <c r="AH32" s="65"/>
      <c r="AI32" s="65"/>
      <c r="AJ32" s="390"/>
    </row>
    <row r="33" spans="1:36" ht="13.5" customHeight="1">
      <c r="A33" s="74"/>
      <c r="B33" s="84"/>
      <c r="C33" s="48"/>
      <c r="D33" s="48"/>
      <c r="E33" s="55"/>
      <c r="F33" s="40"/>
      <c r="G33" s="74"/>
      <c r="H33" s="91" t="s">
        <v>50</v>
      </c>
      <c r="I33" s="92"/>
      <c r="J33" s="18">
        <f>IF(AND(D17&lt;&gt;"",P12&lt;&gt;""),D17+P12,"")</f>
        <v>-0.12056574992000679</v>
      </c>
      <c r="K33" s="43" t="s">
        <v>16</v>
      </c>
      <c r="L33" s="40"/>
      <c r="M33" s="74"/>
      <c r="N33" s="124" t="s">
        <v>149</v>
      </c>
      <c r="O33" s="87" t="s">
        <v>172</v>
      </c>
      <c r="P33" s="151">
        <f>P26</f>
        <v>1.1000000000000001</v>
      </c>
      <c r="Q33" s="153" t="s">
        <v>48</v>
      </c>
      <c r="R33" s="74"/>
      <c r="S33" s="389"/>
      <c r="T33" s="65"/>
      <c r="U33" s="65"/>
      <c r="V33" s="65"/>
      <c r="W33" s="65"/>
      <c r="X33" s="65"/>
      <c r="Y33" s="65"/>
      <c r="Z33" s="65"/>
      <c r="AA33" s="65"/>
      <c r="AB33" s="65"/>
      <c r="AC33" s="65"/>
      <c r="AD33" s="65"/>
      <c r="AE33" s="65"/>
      <c r="AF33" s="65"/>
      <c r="AG33" s="65"/>
      <c r="AH33" s="65"/>
      <c r="AI33" s="65"/>
      <c r="AJ33" s="390"/>
    </row>
    <row r="34" spans="1:36" ht="13.5" customHeight="1">
      <c r="A34" s="74"/>
      <c r="B34" s="53" t="s">
        <v>10</v>
      </c>
      <c r="C34" s="155">
        <v>12</v>
      </c>
      <c r="D34" s="51">
        <f>IF(C34&lt;&gt;"",C34,"")</f>
        <v>12</v>
      </c>
      <c r="E34" s="55" t="s">
        <v>11</v>
      </c>
      <c r="F34" s="74"/>
      <c r="G34" s="74"/>
      <c r="H34" s="91"/>
      <c r="I34" s="92"/>
      <c r="J34" s="16"/>
      <c r="K34" s="93"/>
      <c r="L34" s="78"/>
      <c r="M34" s="74"/>
      <c r="N34" s="124" t="s">
        <v>150</v>
      </c>
      <c r="O34" s="87" t="s">
        <v>172</v>
      </c>
      <c r="P34" s="151">
        <f>O27</f>
        <v>10.043314225841678</v>
      </c>
      <c r="Q34" s="153" t="s">
        <v>21</v>
      </c>
      <c r="R34" s="74"/>
      <c r="S34" s="389"/>
      <c r="T34" s="65"/>
      <c r="U34" s="65"/>
      <c r="V34" s="65"/>
      <c r="W34" s="65"/>
      <c r="X34" s="65"/>
      <c r="Y34" s="65"/>
      <c r="Z34" s="65"/>
      <c r="AA34" s="65"/>
      <c r="AB34" s="65"/>
      <c r="AC34" s="65"/>
      <c r="AD34" s="65"/>
      <c r="AE34" s="65"/>
      <c r="AF34" s="65"/>
      <c r="AG34" s="65"/>
      <c r="AH34" s="65"/>
      <c r="AI34" s="65"/>
      <c r="AJ34" s="390"/>
    </row>
    <row r="35" spans="1:36" ht="13.5" customHeight="1">
      <c r="A35" s="74"/>
      <c r="B35" s="53" t="s">
        <v>12</v>
      </c>
      <c r="C35" s="155">
        <v>1E-3</v>
      </c>
      <c r="D35" s="50">
        <f>IF(C35&lt;&gt;"",C35,10^-5)</f>
        <v>1E-3</v>
      </c>
      <c r="E35" s="55"/>
      <c r="F35" s="74"/>
      <c r="G35" s="74"/>
      <c r="H35" s="91" t="s">
        <v>51</v>
      </c>
      <c r="I35" s="92"/>
      <c r="J35" s="18">
        <f>IF(AND(D34&lt;&gt;"",J28&lt;&gt;"",J29&lt;&gt;"",J30&lt;&gt;"",J31&lt;&gt;"",J32&lt;&gt;"",J33&lt;&gt;""),J28+J29+J30+J31+J32+J33-10*LOG10(Boltzmann_Constant)-10*LOG10(D34),"")</f>
        <v>80.279903816239738</v>
      </c>
      <c r="K35" s="43" t="s">
        <v>16</v>
      </c>
      <c r="L35" s="40"/>
      <c r="M35" s="74"/>
      <c r="N35" s="124" t="s">
        <v>151</v>
      </c>
      <c r="O35" s="87" t="s">
        <v>172</v>
      </c>
      <c r="P35" s="151">
        <f>P27</f>
        <v>15.238570839030032</v>
      </c>
      <c r="Q35" s="153" t="s">
        <v>21</v>
      </c>
      <c r="R35" s="74"/>
      <c r="S35" s="389"/>
      <c r="T35" s="65"/>
      <c r="U35" s="65"/>
      <c r="V35" s="65"/>
      <c r="W35" s="65"/>
      <c r="X35" s="65"/>
      <c r="Y35" s="65"/>
      <c r="Z35" s="65"/>
      <c r="AA35" s="65"/>
      <c r="AB35" s="65"/>
      <c r="AC35" s="65"/>
      <c r="AD35" s="65"/>
      <c r="AE35" s="65"/>
      <c r="AF35" s="65"/>
      <c r="AG35" s="65"/>
      <c r="AH35" s="65"/>
      <c r="AI35" s="65"/>
      <c r="AJ35" s="390"/>
    </row>
    <row r="36" spans="1:36" ht="13.5" customHeight="1">
      <c r="A36" s="74"/>
      <c r="B36" s="53" t="s">
        <v>15</v>
      </c>
      <c r="C36" s="156"/>
      <c r="D36" s="52">
        <f>IF(C36&lt;&gt;"",C36,VLOOKUP(D32,C51:I55,MATCH(D35,C51:I51,0),FALSE))</f>
        <v>8</v>
      </c>
      <c r="E36" s="55" t="s">
        <v>16</v>
      </c>
      <c r="F36" s="74"/>
      <c r="G36" s="74"/>
      <c r="H36" s="91" t="s">
        <v>52</v>
      </c>
      <c r="I36" s="92"/>
      <c r="J36" s="18">
        <f>IF(J35&lt;&gt;"",J35+10*LOG10(D34),"")</f>
        <v>91.071716276715989</v>
      </c>
      <c r="K36" s="43" t="s">
        <v>16</v>
      </c>
      <c r="L36" s="40"/>
      <c r="M36" s="74"/>
      <c r="N36" s="124" t="s">
        <v>152</v>
      </c>
      <c r="O36" s="87" t="s">
        <v>172</v>
      </c>
      <c r="P36" s="151">
        <f>O28</f>
        <v>10.043314225841678</v>
      </c>
      <c r="Q36" s="153" t="s">
        <v>21</v>
      </c>
      <c r="R36" s="74"/>
      <c r="S36" s="389"/>
      <c r="T36" s="65"/>
      <c r="U36" s="65"/>
      <c r="V36" s="65"/>
      <c r="W36" s="65"/>
      <c r="X36" s="65"/>
      <c r="Y36" s="65"/>
      <c r="Z36" s="65"/>
      <c r="AA36" s="65"/>
      <c r="AB36" s="65"/>
      <c r="AC36" s="65"/>
      <c r="AD36" s="65"/>
      <c r="AE36" s="65"/>
      <c r="AF36" s="65"/>
      <c r="AG36" s="65"/>
      <c r="AH36" s="65"/>
      <c r="AI36" s="65"/>
      <c r="AJ36" s="390"/>
    </row>
    <row r="37" spans="1:36" ht="13.5" customHeight="1">
      <c r="A37" s="74"/>
      <c r="B37" s="84"/>
      <c r="C37" s="85"/>
      <c r="D37" s="85"/>
      <c r="E37" s="55"/>
      <c r="F37" s="74"/>
      <c r="G37" s="74"/>
      <c r="H37" s="91" t="s">
        <v>459</v>
      </c>
      <c r="I37" s="18" t="s">
        <v>370</v>
      </c>
      <c r="J37" s="18">
        <f>VLOOKUP(I37,N49:P52,2,FALSE)</f>
        <v>9</v>
      </c>
      <c r="K37" s="43" t="s">
        <v>16</v>
      </c>
      <c r="L37" s="40"/>
      <c r="M37" s="74"/>
      <c r="N37" s="124" t="s">
        <v>153</v>
      </c>
      <c r="O37" s="87" t="s">
        <v>172</v>
      </c>
      <c r="P37" s="151">
        <f>P28</f>
        <v>15.238570839030032</v>
      </c>
      <c r="Q37" s="153" t="s">
        <v>21</v>
      </c>
      <c r="R37" s="74"/>
      <c r="S37" s="389"/>
      <c r="T37" s="65"/>
      <c r="U37" s="65"/>
      <c r="V37" s="65"/>
      <c r="W37" s="65"/>
      <c r="X37" s="65"/>
      <c r="Y37" s="65"/>
      <c r="Z37" s="65"/>
      <c r="AA37" s="65"/>
      <c r="AB37" s="65"/>
      <c r="AC37" s="65"/>
      <c r="AD37" s="65"/>
      <c r="AE37" s="65"/>
      <c r="AF37" s="65"/>
      <c r="AG37" s="65"/>
      <c r="AH37" s="65"/>
      <c r="AI37" s="65"/>
      <c r="AJ37" s="390"/>
    </row>
    <row r="38" spans="1:36" ht="13.5" customHeight="1" thickBot="1">
      <c r="A38" s="74"/>
      <c r="B38" s="579" t="s">
        <v>168</v>
      </c>
      <c r="C38" s="549"/>
      <c r="D38" s="549"/>
      <c r="E38" s="580"/>
      <c r="F38" s="74"/>
      <c r="G38" s="74"/>
      <c r="H38" s="91" t="s">
        <v>53</v>
      </c>
      <c r="I38" s="156"/>
      <c r="J38" s="18">
        <f>IF(I38&lt;&gt;"",IF(I38&lt;=0,I38,-I38),-2)</f>
        <v>-2</v>
      </c>
      <c r="K38" s="43" t="s">
        <v>16</v>
      </c>
      <c r="L38" s="40"/>
      <c r="M38" s="74"/>
      <c r="N38" s="125"/>
      <c r="O38" s="126"/>
      <c r="P38" s="126"/>
      <c r="Q38" s="127"/>
      <c r="R38" s="74"/>
      <c r="S38" s="389"/>
      <c r="T38" s="65"/>
      <c r="U38" s="65"/>
      <c r="V38" s="65"/>
      <c r="W38" s="65"/>
      <c r="X38" s="65"/>
      <c r="Y38" s="65"/>
      <c r="Z38" s="65"/>
      <c r="AA38" s="65"/>
      <c r="AB38" s="65"/>
      <c r="AC38" s="65"/>
      <c r="AD38" s="65"/>
      <c r="AE38" s="65"/>
      <c r="AF38" s="65"/>
      <c r="AG38" s="65"/>
      <c r="AH38" s="65"/>
      <c r="AI38" s="65"/>
      <c r="AJ38" s="390"/>
    </row>
    <row r="39" spans="1:36" ht="13.5" customHeight="1" thickTop="1">
      <c r="A39" s="74"/>
      <c r="B39" s="105" t="s">
        <v>156</v>
      </c>
      <c r="C39" s="73" t="s">
        <v>176</v>
      </c>
      <c r="D39" s="151">
        <f>D34/1000</f>
        <v>1.2E-2</v>
      </c>
      <c r="E39" s="152" t="s">
        <v>170</v>
      </c>
      <c r="F39" s="74"/>
      <c r="G39" s="74"/>
      <c r="H39" s="91" t="s">
        <v>54</v>
      </c>
      <c r="I39" s="92" t="str">
        <f>IF(J39&lt;VLOOKUP(I37,N49:P52,2,FALSE),"Margin is too low","Link is closed")</f>
        <v>Link is closed</v>
      </c>
      <c r="J39" s="18">
        <f>IF(AND(D36&lt;&gt;"",J35&lt;&gt;""),J35+J38-D36,"")</f>
        <v>70.279903816239738</v>
      </c>
      <c r="K39" s="43" t="s">
        <v>16</v>
      </c>
      <c r="L39" s="74"/>
      <c r="M39" s="74"/>
      <c r="N39" s="74"/>
      <c r="O39" s="74"/>
      <c r="P39" s="74"/>
      <c r="Q39" s="40"/>
      <c r="R39" s="74"/>
      <c r="S39" s="389"/>
      <c r="T39" s="65"/>
      <c r="U39" s="65"/>
      <c r="V39" s="65"/>
      <c r="W39" s="65"/>
      <c r="X39" s="65"/>
      <c r="Y39" s="65"/>
      <c r="Z39" s="65"/>
      <c r="AA39" s="65"/>
      <c r="AB39" s="65"/>
      <c r="AC39" s="65"/>
      <c r="AD39" s="65"/>
      <c r="AE39" s="65"/>
      <c r="AF39" s="65"/>
      <c r="AG39" s="65"/>
      <c r="AH39" s="65"/>
      <c r="AI39" s="65"/>
      <c r="AJ39" s="390"/>
    </row>
    <row r="40" spans="1:36" ht="13.5" customHeight="1" thickBot="1">
      <c r="A40" s="74"/>
      <c r="B40" s="95"/>
      <c r="C40" s="96"/>
      <c r="D40" s="96"/>
      <c r="E40" s="97"/>
      <c r="F40" s="74"/>
      <c r="G40" s="74"/>
      <c r="H40" s="98"/>
      <c r="I40" s="99"/>
      <c r="J40" s="99"/>
      <c r="K40" s="69"/>
      <c r="L40" s="74"/>
      <c r="M40" s="74"/>
      <c r="N40" s="74"/>
      <c r="O40" s="74"/>
      <c r="P40" s="74"/>
      <c r="Q40" s="40"/>
      <c r="R40" s="74"/>
      <c r="S40" s="389"/>
      <c r="T40" s="65"/>
      <c r="U40" s="65"/>
      <c r="V40" s="65"/>
      <c r="W40" s="65"/>
      <c r="X40" s="65"/>
      <c r="Y40" s="65"/>
      <c r="Z40" s="65"/>
      <c r="AA40" s="65"/>
      <c r="AB40" s="65"/>
      <c r="AC40" s="65"/>
      <c r="AD40" s="65"/>
      <c r="AE40" s="65"/>
      <c r="AF40" s="65"/>
      <c r="AG40" s="65"/>
      <c r="AH40" s="65"/>
      <c r="AI40" s="65"/>
      <c r="AJ40" s="390"/>
    </row>
    <row r="41" spans="1:36" ht="15.3" thickTop="1">
      <c r="A41" s="74"/>
      <c r="B41" s="74"/>
      <c r="C41" s="74"/>
      <c r="D41" s="74"/>
      <c r="E41" s="78"/>
      <c r="F41" s="74"/>
      <c r="G41" s="74"/>
      <c r="H41" s="74"/>
      <c r="I41" s="74"/>
      <c r="J41" s="74"/>
      <c r="K41" s="40"/>
      <c r="L41" s="74"/>
      <c r="M41" s="74"/>
      <c r="N41" s="74"/>
      <c r="O41" s="74"/>
      <c r="P41" s="74"/>
      <c r="Q41" s="40"/>
      <c r="R41" s="74"/>
      <c r="S41" s="389"/>
      <c r="T41" s="65"/>
      <c r="U41" s="65"/>
      <c r="V41" s="65"/>
      <c r="W41" s="65"/>
      <c r="X41" s="65"/>
      <c r="Y41" s="65"/>
      <c r="Z41" s="65"/>
      <c r="AA41" s="65"/>
      <c r="AB41" s="65"/>
      <c r="AC41" s="65"/>
      <c r="AD41" s="65"/>
      <c r="AE41" s="65"/>
      <c r="AF41" s="65"/>
      <c r="AG41" s="65"/>
      <c r="AH41" s="65"/>
      <c r="AI41" s="65"/>
      <c r="AJ41" s="390"/>
    </row>
    <row r="42" spans="1:36" ht="15.3" thickBot="1">
      <c r="A42" s="74"/>
      <c r="B42" s="74"/>
      <c r="C42" s="74"/>
      <c r="D42" s="74"/>
      <c r="E42" s="78"/>
      <c r="F42" s="74"/>
      <c r="G42" s="74"/>
      <c r="H42" s="74"/>
      <c r="I42" s="74"/>
      <c r="J42" s="74"/>
      <c r="K42" s="40"/>
      <c r="L42" s="74"/>
      <c r="M42" s="74"/>
      <c r="N42" s="74"/>
      <c r="O42" s="74"/>
      <c r="P42" s="74"/>
      <c r="Q42" s="40"/>
      <c r="R42" s="74"/>
      <c r="S42" s="391"/>
      <c r="T42" s="392"/>
      <c r="U42" s="392"/>
      <c r="V42" s="392"/>
      <c r="W42" s="392"/>
      <c r="X42" s="392"/>
      <c r="Y42" s="392"/>
      <c r="Z42" s="392"/>
      <c r="AA42" s="392"/>
      <c r="AB42" s="392"/>
      <c r="AC42" s="392"/>
      <c r="AD42" s="392"/>
      <c r="AE42" s="392"/>
      <c r="AF42" s="392"/>
      <c r="AG42" s="392"/>
      <c r="AH42" s="392"/>
      <c r="AI42" s="392"/>
      <c r="AJ42" s="393"/>
    </row>
    <row r="43" spans="1:36" ht="12.9" thickTop="1">
      <c r="E43" s="61"/>
      <c r="K43" s="61"/>
      <c r="L43" s="61"/>
      <c r="Q43" s="61"/>
    </row>
    <row r="44" spans="1:36">
      <c r="E44" s="61"/>
      <c r="K44" s="61"/>
      <c r="L44" s="61"/>
      <c r="Q44" s="61"/>
    </row>
    <row r="45" spans="1:36">
      <c r="E45" s="61"/>
      <c r="K45" s="61"/>
      <c r="L45" s="61"/>
      <c r="Q45" s="61"/>
    </row>
    <row r="46" spans="1:36">
      <c r="E46" s="61"/>
      <c r="K46" s="61"/>
      <c r="L46" s="61"/>
      <c r="Q46" s="61"/>
    </row>
    <row r="47" spans="1:36">
      <c r="E47" s="61"/>
      <c r="K47" s="61"/>
      <c r="L47" s="61"/>
      <c r="M47" s="388"/>
      <c r="N47" s="388"/>
      <c r="O47" s="388"/>
      <c r="P47" s="388"/>
      <c r="Q47" s="61"/>
    </row>
    <row r="48" spans="1:36">
      <c r="E48" s="61"/>
      <c r="K48" s="61"/>
      <c r="L48" s="61"/>
      <c r="M48" s="388"/>
      <c r="N48" s="388" t="s">
        <v>368</v>
      </c>
      <c r="O48" s="388" t="s">
        <v>54</v>
      </c>
      <c r="P48" s="388" t="s">
        <v>369</v>
      </c>
      <c r="Q48" s="61"/>
    </row>
    <row r="49" spans="2:17">
      <c r="E49" s="61"/>
      <c r="K49" s="61"/>
      <c r="L49" s="61"/>
      <c r="M49" s="388"/>
      <c r="N49" s="388" t="s">
        <v>370</v>
      </c>
      <c r="O49" s="388">
        <v>9</v>
      </c>
      <c r="P49" s="388" t="s">
        <v>16</v>
      </c>
      <c r="Q49" s="61"/>
    </row>
    <row r="50" spans="2:17">
      <c r="E50" s="61"/>
      <c r="K50" s="61"/>
      <c r="L50" s="61"/>
      <c r="M50" s="388"/>
      <c r="N50" s="388" t="s">
        <v>371</v>
      </c>
      <c r="O50" s="388">
        <v>6</v>
      </c>
      <c r="P50" s="388" t="s">
        <v>16</v>
      </c>
      <c r="Q50" s="61"/>
    </row>
    <row r="51" spans="2:17">
      <c r="C51" s="332"/>
      <c r="D51" s="343" t="s">
        <v>310</v>
      </c>
      <c r="E51" s="343" t="s">
        <v>311</v>
      </c>
      <c r="F51" s="333">
        <v>1E-3</v>
      </c>
      <c r="G51" s="334">
        <v>1E-4</v>
      </c>
      <c r="H51" s="334">
        <v>1.0000000000000001E-5</v>
      </c>
      <c r="I51" s="334">
        <v>9.9999999999999995E-7</v>
      </c>
      <c r="K51" s="61"/>
      <c r="L51" s="61"/>
      <c r="M51" s="388"/>
      <c r="N51" s="388" t="s">
        <v>372</v>
      </c>
      <c r="O51" s="388">
        <v>3</v>
      </c>
      <c r="P51" s="388" t="s">
        <v>16</v>
      </c>
      <c r="Q51" s="61"/>
    </row>
    <row r="52" spans="2:17">
      <c r="C52" s="335" t="s">
        <v>305</v>
      </c>
      <c r="D52" s="335">
        <v>1</v>
      </c>
      <c r="E52" s="333">
        <v>1E-3</v>
      </c>
      <c r="F52" s="335">
        <v>8</v>
      </c>
      <c r="G52" s="335">
        <v>9.5</v>
      </c>
      <c r="H52" s="335">
        <v>10.5</v>
      </c>
      <c r="I52" s="335">
        <v>11.5</v>
      </c>
      <c r="K52" s="61"/>
      <c r="L52" s="61"/>
      <c r="M52" s="388"/>
      <c r="N52" s="388" t="s">
        <v>373</v>
      </c>
      <c r="O52" s="388">
        <v>0</v>
      </c>
      <c r="P52" s="388" t="s">
        <v>16</v>
      </c>
      <c r="Q52" s="61"/>
    </row>
    <row r="53" spans="2:17">
      <c r="B53" s="331"/>
      <c r="C53" s="336" t="s">
        <v>306</v>
      </c>
      <c r="D53" s="336">
        <v>2</v>
      </c>
      <c r="E53" s="334">
        <v>1E-4</v>
      </c>
      <c r="F53" s="336">
        <v>8</v>
      </c>
      <c r="G53" s="336">
        <v>9.5</v>
      </c>
      <c r="H53" s="336">
        <v>10.5</v>
      </c>
      <c r="I53" s="336">
        <v>11.5</v>
      </c>
      <c r="K53" s="61"/>
      <c r="L53" s="61"/>
      <c r="M53" s="388"/>
      <c r="N53" s="388"/>
      <c r="O53" s="388"/>
      <c r="P53" s="388"/>
      <c r="Q53" s="61"/>
    </row>
    <row r="54" spans="2:17">
      <c r="C54" s="336" t="s">
        <v>307</v>
      </c>
      <c r="D54" s="337">
        <v>2</v>
      </c>
      <c r="E54" s="334">
        <v>1.0000000000000001E-5</v>
      </c>
      <c r="F54" s="336">
        <v>11</v>
      </c>
      <c r="G54" s="336">
        <v>13</v>
      </c>
      <c r="H54" s="336">
        <v>14</v>
      </c>
      <c r="I54" s="336">
        <v>15</v>
      </c>
      <c r="K54" s="61"/>
      <c r="L54" s="61"/>
      <c r="M54" s="388"/>
      <c r="N54" s="388"/>
      <c r="O54" s="388"/>
      <c r="P54" s="388"/>
      <c r="Q54" s="61"/>
    </row>
    <row r="55" spans="2:17">
      <c r="C55" s="336" t="s">
        <v>308</v>
      </c>
      <c r="D55" s="337">
        <v>4</v>
      </c>
      <c r="E55" s="334">
        <v>9.9999999999999995E-7</v>
      </c>
      <c r="F55" s="337">
        <v>11</v>
      </c>
      <c r="G55" s="336">
        <v>13</v>
      </c>
      <c r="H55" s="336">
        <v>14.5</v>
      </c>
      <c r="I55" s="336">
        <v>15.5</v>
      </c>
      <c r="K55" s="61"/>
      <c r="L55" s="61"/>
      <c r="Q55" s="61"/>
    </row>
    <row r="56" spans="2:17">
      <c r="C56" s="338"/>
      <c r="D56" s="338"/>
      <c r="E56" s="338"/>
      <c r="F56" s="338"/>
      <c r="G56" s="338"/>
      <c r="H56" s="338"/>
      <c r="I56" s="338"/>
      <c r="K56" s="61"/>
      <c r="L56" s="61"/>
      <c r="Q56" s="61"/>
    </row>
    <row r="57" spans="2:17">
      <c r="C57" s="338"/>
      <c r="D57" s="338"/>
      <c r="E57" s="338"/>
      <c r="F57" s="338"/>
      <c r="G57" s="338"/>
      <c r="H57" s="338"/>
      <c r="I57" s="338"/>
      <c r="K57" s="61"/>
      <c r="L57" s="61"/>
      <c r="Q57" s="61"/>
    </row>
    <row r="58" spans="2:17">
      <c r="C58" s="338"/>
      <c r="D58" s="338"/>
      <c r="E58" s="338"/>
      <c r="F58" s="338"/>
      <c r="G58" s="338"/>
      <c r="H58" s="338"/>
      <c r="I58" s="338"/>
      <c r="K58" s="61"/>
      <c r="L58" s="61"/>
      <c r="Q58" s="61"/>
    </row>
    <row r="59" spans="2:17">
      <c r="C59" s="338"/>
      <c r="D59" s="338"/>
      <c r="E59" s="338"/>
      <c r="F59" s="338"/>
      <c r="G59" s="338"/>
      <c r="H59" s="338"/>
      <c r="I59" s="338"/>
      <c r="K59" s="61"/>
      <c r="L59" s="61"/>
      <c r="Q59" s="61"/>
    </row>
    <row r="60" spans="2:17">
      <c r="C60" s="339"/>
      <c r="D60" s="340" t="s">
        <v>305</v>
      </c>
      <c r="E60" s="340" t="s">
        <v>307</v>
      </c>
      <c r="F60" s="340" t="s">
        <v>308</v>
      </c>
      <c r="G60" s="338"/>
      <c r="H60" s="338"/>
      <c r="I60" s="338"/>
      <c r="K60" s="61"/>
      <c r="L60" s="61"/>
      <c r="Q60" s="61"/>
    </row>
    <row r="61" spans="2:17">
      <c r="C61" s="341">
        <v>0</v>
      </c>
      <c r="D61" s="342">
        <v>7.8649603999999998E-2</v>
      </c>
      <c r="E61" s="342">
        <v>0.11618786</v>
      </c>
      <c r="F61" s="342">
        <v>0.11869431</v>
      </c>
      <c r="G61" s="338"/>
      <c r="H61" s="338"/>
      <c r="I61" s="338"/>
      <c r="K61" s="61"/>
      <c r="L61" s="61"/>
      <c r="Q61" s="61"/>
    </row>
    <row r="62" spans="2:17">
      <c r="C62" s="341">
        <v>1</v>
      </c>
      <c r="D62" s="342">
        <v>5.6281952000000003E-2</v>
      </c>
      <c r="E62" s="342">
        <v>9.7637063999999996E-2</v>
      </c>
      <c r="F62" s="342">
        <v>0.10335091</v>
      </c>
      <c r="G62" s="338"/>
      <c r="H62" s="338"/>
      <c r="I62" s="338"/>
      <c r="K62" s="61"/>
      <c r="L62" s="61"/>
      <c r="Q62" s="61"/>
    </row>
    <row r="63" spans="2:17">
      <c r="C63" s="341">
        <v>2</v>
      </c>
      <c r="D63" s="342">
        <v>3.7506128E-2</v>
      </c>
      <c r="E63" s="342">
        <v>7.9321418000000005E-2</v>
      </c>
      <c r="F63" s="342">
        <v>8.7181977999999993E-2</v>
      </c>
      <c r="G63" s="338"/>
      <c r="H63" s="338"/>
      <c r="I63" s="338"/>
      <c r="K63" s="61"/>
      <c r="L63" s="61"/>
      <c r="Q63" s="61"/>
    </row>
    <row r="64" spans="2:17">
      <c r="C64" s="341">
        <v>3</v>
      </c>
      <c r="D64" s="342">
        <v>2.2878407999999999E-2</v>
      </c>
      <c r="E64" s="342">
        <v>6.1825135000000003E-2</v>
      </c>
      <c r="F64" s="342">
        <v>7.0706306999999996E-2</v>
      </c>
      <c r="G64" s="338"/>
      <c r="H64" s="338"/>
      <c r="I64" s="338"/>
      <c r="K64" s="61"/>
      <c r="L64" s="61"/>
      <c r="Q64" s="61"/>
    </row>
    <row r="65" spans="3:17">
      <c r="C65" s="341">
        <v>4</v>
      </c>
      <c r="D65" s="342">
        <v>1.2500818E-2</v>
      </c>
      <c r="E65" s="342">
        <v>4.5790943000000001E-2</v>
      </c>
      <c r="F65" s="342">
        <v>5.4616241000000003E-2</v>
      </c>
      <c r="G65" s="338"/>
      <c r="H65" s="338"/>
      <c r="I65" s="338"/>
      <c r="K65" s="61"/>
      <c r="L65" s="61"/>
      <c r="Q65" s="61"/>
    </row>
    <row r="66" spans="3:17">
      <c r="C66" s="341">
        <v>5</v>
      </c>
      <c r="D66" s="342">
        <v>5.9538671000000003E-3</v>
      </c>
      <c r="E66" s="342">
        <v>3.1843303000000003E-2</v>
      </c>
      <c r="F66" s="342">
        <v>3.9717537999999997E-2</v>
      </c>
      <c r="G66" s="338"/>
      <c r="H66" s="338"/>
      <c r="I66" s="338"/>
      <c r="K66" s="61"/>
      <c r="L66" s="61"/>
      <c r="Q66" s="61"/>
    </row>
    <row r="67" spans="3:17">
      <c r="C67" s="341">
        <v>6</v>
      </c>
      <c r="D67" s="342">
        <v>2.3882907999999998E-3</v>
      </c>
      <c r="E67" s="342">
        <v>2.0479924E-2</v>
      </c>
      <c r="F67" s="342">
        <v>2.6806703000000001E-2</v>
      </c>
      <c r="G67" s="338"/>
      <c r="H67" s="338"/>
      <c r="I67" s="338"/>
      <c r="K67" s="61"/>
      <c r="L67" s="61"/>
      <c r="Q67" s="61"/>
    </row>
    <row r="68" spans="3:17">
      <c r="C68" s="341">
        <v>7</v>
      </c>
      <c r="D68" s="342">
        <v>7.7267481999999997E-4</v>
      </c>
      <c r="E68" s="342">
        <v>1.1952769E-2</v>
      </c>
      <c r="F68" s="342">
        <v>1.6499646E-2</v>
      </c>
      <c r="G68" s="338"/>
      <c r="H68" s="338"/>
      <c r="I68" s="338"/>
      <c r="K68" s="61"/>
      <c r="L68" s="61"/>
      <c r="Q68" s="61"/>
    </row>
    <row r="69" spans="3:17">
      <c r="C69" s="341">
        <v>8</v>
      </c>
      <c r="D69" s="342">
        <v>1.9090776999999999E-4</v>
      </c>
      <c r="E69" s="342">
        <v>6.1810518000000002E-3</v>
      </c>
      <c r="F69" s="342">
        <v>9.0624729999999997E-3</v>
      </c>
      <c r="G69" s="338"/>
      <c r="H69" s="338"/>
      <c r="I69" s="338"/>
      <c r="K69" s="61"/>
      <c r="L69" s="61"/>
      <c r="Q69" s="61"/>
    </row>
    <row r="70" spans="3:17">
      <c r="C70" s="341">
        <v>9</v>
      </c>
      <c r="D70" s="342">
        <v>3.3627227999999999E-5</v>
      </c>
      <c r="E70" s="342">
        <v>2.7481335E-3</v>
      </c>
      <c r="F70" s="342">
        <v>4.3234856000000004E-3</v>
      </c>
      <c r="G70" s="338"/>
      <c r="H70" s="338"/>
      <c r="I70" s="338"/>
      <c r="K70" s="61"/>
      <c r="L70" s="61"/>
      <c r="Q70" s="61"/>
    </row>
    <row r="71" spans="3:17">
      <c r="C71" s="341">
        <v>10</v>
      </c>
      <c r="D71" s="342">
        <v>3.8721081999999998E-6</v>
      </c>
      <c r="E71" s="342">
        <v>1.0113953000000001E-3</v>
      </c>
      <c r="F71" s="342">
        <v>1.7319644E-3</v>
      </c>
      <c r="G71" s="338"/>
      <c r="H71" s="338"/>
      <c r="I71" s="338"/>
      <c r="K71" s="61"/>
      <c r="L71" s="61"/>
      <c r="Q71" s="61"/>
    </row>
    <row r="72" spans="3:17">
      <c r="C72" s="341">
        <v>11</v>
      </c>
      <c r="D72" s="342">
        <v>2.6130679999999999E-7</v>
      </c>
      <c r="E72" s="342">
        <v>2.9372924999999998E-4</v>
      </c>
      <c r="F72" s="342">
        <v>5.5822086000000004E-4</v>
      </c>
      <c r="G72" s="338"/>
      <c r="H72" s="338"/>
      <c r="I72" s="338"/>
      <c r="K72" s="61"/>
      <c r="L72" s="61"/>
      <c r="Q72" s="61"/>
    </row>
    <row r="73" spans="3:17">
      <c r="C73" s="341">
        <v>12</v>
      </c>
      <c r="D73" s="342">
        <v>9.0060103999999997E-9</v>
      </c>
      <c r="E73" s="342">
        <v>6.3378787999999998E-5</v>
      </c>
      <c r="F73" s="342">
        <v>1.3712408E-4</v>
      </c>
      <c r="G73" s="338"/>
      <c r="H73" s="338"/>
      <c r="I73" s="338"/>
      <c r="K73" s="61"/>
      <c r="L73" s="61"/>
      <c r="Q73" s="61"/>
    </row>
    <row r="74" spans="3:17">
      <c r="C74" s="341">
        <v>13</v>
      </c>
      <c r="D74" s="342"/>
      <c r="E74" s="342">
        <v>9.4172645E-6</v>
      </c>
      <c r="F74" s="342">
        <v>2.3968291000000001E-5</v>
      </c>
      <c r="G74" s="338"/>
      <c r="H74" s="338"/>
      <c r="I74" s="338"/>
      <c r="K74" s="61"/>
      <c r="L74" s="61"/>
      <c r="Q74" s="61"/>
    </row>
    <row r="75" spans="3:17">
      <c r="C75" s="341">
        <v>14</v>
      </c>
      <c r="D75" s="342"/>
      <c r="E75" s="342">
        <v>8.7563269999999996E-7</v>
      </c>
      <c r="F75" s="342">
        <v>2.7329935000000001E-6</v>
      </c>
      <c r="G75" s="338"/>
      <c r="H75" s="338"/>
      <c r="I75" s="338"/>
    </row>
    <row r="76" spans="3:17">
      <c r="C76" s="341">
        <v>15</v>
      </c>
      <c r="D76" s="342"/>
      <c r="E76" s="342">
        <v>4.5160925000000002E-8</v>
      </c>
      <c r="F76" s="342">
        <v>1.8217203E-7</v>
      </c>
      <c r="G76" s="338"/>
      <c r="H76" s="338"/>
      <c r="I76" s="338"/>
    </row>
    <row r="77" spans="3:17">
      <c r="C77" s="341">
        <v>16</v>
      </c>
      <c r="D77" s="342"/>
      <c r="E77" s="342">
        <v>1.10987E-9</v>
      </c>
      <c r="F77" s="342">
        <v>6.1818745000000001E-9</v>
      </c>
      <c r="G77" s="338"/>
      <c r="H77" s="338"/>
      <c r="I77" s="338"/>
    </row>
  </sheetData>
  <mergeCells count="18">
    <mergeCell ref="N30:Q30"/>
    <mergeCell ref="N21:Q21"/>
    <mergeCell ref="B38:E38"/>
    <mergeCell ref="B28:E28"/>
    <mergeCell ref="H27:K27"/>
    <mergeCell ref="B24:E24"/>
    <mergeCell ref="H25:K25"/>
    <mergeCell ref="B22:E22"/>
    <mergeCell ref="N19:Q19"/>
    <mergeCell ref="B6:E6"/>
    <mergeCell ref="H12:K12"/>
    <mergeCell ref="N6:Q6"/>
    <mergeCell ref="H6:K6"/>
    <mergeCell ref="S2:AJ2"/>
    <mergeCell ref="B3:R3"/>
    <mergeCell ref="B4:E4"/>
    <mergeCell ref="H4:K4"/>
    <mergeCell ref="N4:Q4"/>
  </mergeCells>
  <phoneticPr fontId="0" type="noConversion"/>
  <dataValidations count="3">
    <dataValidation type="list" allowBlank="1" showInputMessage="1" showErrorMessage="1" sqref="C35" xr:uid="{00000000-0002-0000-0500-000000000000}">
      <formula1>$E$52:$E$55</formula1>
    </dataValidation>
    <dataValidation type="list" allowBlank="1" showInputMessage="1" showErrorMessage="1" sqref="C32:D32" xr:uid="{00000000-0002-0000-0500-000001000000}">
      <formula1>$C$52:$C$55</formula1>
    </dataValidation>
    <dataValidation type="list" allowBlank="1" showInputMessage="1" showErrorMessage="1" sqref="I37" xr:uid="{00000000-0002-0000-0500-000002000000}">
      <formula1>$N$49:$N$52</formula1>
    </dataValidation>
  </dataValidations>
  <pageMargins left="0.75" right="0.75" top="1" bottom="1" header="0.5" footer="0.5"/>
  <pageSetup paperSize="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30" r:id="rId4" name="Drop Down 58">
              <controlPr defaultSize="0" autoLine="0" autoPict="0">
                <anchor moveWithCells="1">
                  <from>
                    <xdr:col>1</xdr:col>
                    <xdr:colOff>1630680</xdr:colOff>
                    <xdr:row>28</xdr:row>
                    <xdr:rowOff>19050</xdr:rowOff>
                  </from>
                  <to>
                    <xdr:col>3</xdr:col>
                    <xdr:colOff>1078230</xdr:colOff>
                    <xdr:row>28</xdr:row>
                    <xdr:rowOff>163830</xdr:rowOff>
                  </to>
                </anchor>
              </controlPr>
            </control>
          </mc:Choice>
        </mc:AlternateContent>
        <mc:AlternateContent xmlns:mc="http://schemas.openxmlformats.org/markup-compatibility/2006">
          <mc:Choice Requires="x14">
            <control shapeId="3143" r:id="rId5" name="Button 71">
              <controlPr defaultSize="0" print="0" autoFill="0" autoPict="0" macro="[0]!TradeMarginDownlink">
                <anchor moveWithCells="1" sizeWithCells="1">
                  <from>
                    <xdr:col>1</xdr:col>
                    <xdr:colOff>1790700</xdr:colOff>
                    <xdr:row>3</xdr:row>
                    <xdr:rowOff>163830</xdr:rowOff>
                  </from>
                  <to>
                    <xdr:col>3</xdr:col>
                    <xdr:colOff>1295400</xdr:colOff>
                    <xdr:row>5</xdr:row>
                    <xdr:rowOff>30480</xdr:rowOff>
                  </to>
                </anchor>
              </controlPr>
            </control>
          </mc:Choice>
        </mc:AlternateContent>
        <mc:AlternateContent xmlns:mc="http://schemas.openxmlformats.org/markup-compatibility/2006">
          <mc:Choice Requires="x14">
            <control shapeId="3145" r:id="rId6" name="Button 73">
              <controlPr defaultSize="0" print="0" autoFill="0" autoPict="0" macro="[0]!Altitude_Margin_Downlink">
                <anchor moveWithCells="1" sizeWithCells="1">
                  <from>
                    <xdr:col>7</xdr:col>
                    <xdr:colOff>342900</xdr:colOff>
                    <xdr:row>24</xdr:row>
                    <xdr:rowOff>163830</xdr:rowOff>
                  </from>
                  <to>
                    <xdr:col>8</xdr:col>
                    <xdr:colOff>182880</xdr:colOff>
                    <xdr:row>25</xdr:row>
                    <xdr:rowOff>163830</xdr:rowOff>
                  </to>
                </anchor>
              </controlPr>
            </control>
          </mc:Choice>
        </mc:AlternateContent>
        <mc:AlternateContent xmlns:mc="http://schemas.openxmlformats.org/markup-compatibility/2006">
          <mc:Choice Requires="x14">
            <control shapeId="3146" r:id="rId7" name="Button 74">
              <controlPr defaultSize="0" print="0" autoFill="0" autoPict="0" macro="[0]!Beamwidth_Margin_Downlink">
                <anchor moveWithCells="1" sizeWithCells="1">
                  <from>
                    <xdr:col>8</xdr:col>
                    <xdr:colOff>895350</xdr:colOff>
                    <xdr:row>24</xdr:row>
                    <xdr:rowOff>152400</xdr:rowOff>
                  </from>
                  <to>
                    <xdr:col>10</xdr:col>
                    <xdr:colOff>30480</xdr:colOff>
                    <xdr:row>26</xdr:row>
                    <xdr:rowOff>11430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3000000}">
          <x14:formula1>
            <xm:f>Constants!$K$30:$K$39</xm:f>
          </x14:formula1>
          <xm:sqref>I5</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1">
    <tabColor theme="3" tint="0.39997558519241921"/>
    <pageSetUpPr fitToPage="1"/>
  </sheetPr>
  <dimension ref="A1:AC77"/>
  <sheetViews>
    <sheetView topLeftCell="A13" zoomScale="70" zoomScaleNormal="70" workbookViewId="0">
      <selection activeCell="D39" sqref="D39"/>
    </sheetView>
  </sheetViews>
  <sheetFormatPr defaultColWidth="9.29296875" defaultRowHeight="12.6"/>
  <cols>
    <col min="1" max="1" width="7" style="61" customWidth="1"/>
    <col min="2" max="2" width="28.8203125" style="61" customWidth="1"/>
    <col min="3" max="4" width="11.8203125" style="61" customWidth="1"/>
    <col min="5" max="5" width="5.8203125" style="100" customWidth="1"/>
    <col min="6" max="6" width="4.8203125" style="61" customWidth="1"/>
    <col min="7" max="7" width="2.8203125" style="61" customWidth="1"/>
    <col min="8" max="8" width="38.17578125" style="61" bestFit="1" customWidth="1"/>
    <col min="9" max="10" width="21" style="61" bestFit="1" customWidth="1"/>
    <col min="11" max="11" width="5.8203125" style="100" customWidth="1"/>
    <col min="12" max="12" width="4.8203125" style="100" customWidth="1"/>
    <col min="13" max="13" width="2.8203125" style="61" customWidth="1"/>
    <col min="14" max="14" width="39" style="61" bestFit="1" customWidth="1"/>
    <col min="15" max="16" width="11.8203125" style="61" customWidth="1"/>
    <col min="17" max="17" width="5.8203125" style="4" customWidth="1"/>
    <col min="18" max="16384" width="9.29296875" style="61"/>
  </cols>
  <sheetData>
    <row r="1" spans="1:29" ht="36" customHeight="1">
      <c r="A1" s="74"/>
      <c r="B1" s="75"/>
      <c r="C1" s="7"/>
      <c r="D1" s="7"/>
      <c r="E1" s="7"/>
      <c r="F1" s="7"/>
      <c r="G1" s="7"/>
      <c r="H1" s="7"/>
      <c r="I1" s="7"/>
      <c r="J1" s="7"/>
      <c r="K1" s="8"/>
      <c r="L1" s="8"/>
      <c r="M1" s="76"/>
      <c r="N1" s="76"/>
      <c r="O1" s="76"/>
      <c r="P1" s="76"/>
      <c r="Q1" s="8"/>
      <c r="R1" s="74"/>
      <c r="AC1" s="77"/>
    </row>
    <row r="2" spans="1:29" ht="15.3">
      <c r="A2" s="74"/>
      <c r="B2" s="143" t="s">
        <v>171</v>
      </c>
      <c r="C2" s="104" t="s">
        <v>178</v>
      </c>
      <c r="D2" s="7"/>
      <c r="E2" s="7"/>
      <c r="F2" s="7"/>
      <c r="G2" s="7"/>
      <c r="H2" s="7"/>
      <c r="I2" s="7"/>
      <c r="J2" s="7"/>
      <c r="K2" s="8"/>
      <c r="L2" s="8"/>
      <c r="M2" s="76"/>
      <c r="N2" s="76"/>
      <c r="O2" s="76"/>
      <c r="P2" s="76"/>
      <c r="Q2" s="8"/>
      <c r="R2" s="74"/>
      <c r="AC2" s="77"/>
    </row>
    <row r="3" spans="1:29" ht="13.5" customHeight="1" thickBot="1">
      <c r="A3" s="74"/>
      <c r="B3" s="569"/>
      <c r="C3" s="569"/>
      <c r="D3" s="569"/>
      <c r="E3" s="569"/>
      <c r="F3" s="569"/>
      <c r="G3" s="569"/>
      <c r="H3" s="569"/>
      <c r="I3" s="569"/>
      <c r="J3" s="569"/>
      <c r="K3" s="569"/>
      <c r="L3" s="569"/>
      <c r="M3" s="569"/>
      <c r="N3" s="569"/>
      <c r="O3" s="569"/>
      <c r="P3" s="569"/>
      <c r="Q3" s="569"/>
      <c r="R3" s="569"/>
      <c r="AC3" s="77"/>
    </row>
    <row r="4" spans="1:29" s="103" customFormat="1" ht="13.5" customHeight="1" thickTop="1">
      <c r="A4" s="101"/>
      <c r="B4" s="530" t="s">
        <v>360</v>
      </c>
      <c r="C4" s="570"/>
      <c r="D4" s="570"/>
      <c r="E4" s="571"/>
      <c r="F4" s="101"/>
      <c r="G4" s="101"/>
      <c r="H4" s="527" t="s">
        <v>18</v>
      </c>
      <c r="I4" s="572"/>
      <c r="J4" s="572"/>
      <c r="K4" s="573"/>
      <c r="L4" s="102"/>
      <c r="M4" s="101"/>
      <c r="N4" s="524" t="s">
        <v>359</v>
      </c>
      <c r="O4" s="525"/>
      <c r="P4" s="525"/>
      <c r="Q4" s="526"/>
      <c r="R4" s="101"/>
    </row>
    <row r="5" spans="1:29" ht="13.5" customHeight="1">
      <c r="A5" s="74"/>
      <c r="B5" s="106"/>
      <c r="C5" s="65"/>
      <c r="D5" s="65"/>
      <c r="E5" s="107"/>
      <c r="F5" s="74"/>
      <c r="G5" s="74"/>
      <c r="H5" s="33" t="s">
        <v>304</v>
      </c>
      <c r="I5" s="26" t="s">
        <v>222</v>
      </c>
      <c r="J5" s="67"/>
      <c r="K5" s="68"/>
      <c r="L5" s="78"/>
      <c r="M5" s="74"/>
      <c r="N5" s="115"/>
      <c r="O5" s="79"/>
      <c r="P5" s="79"/>
      <c r="Q5" s="116"/>
      <c r="R5" s="74"/>
    </row>
    <row r="6" spans="1:29" ht="13.5" customHeight="1">
      <c r="A6" s="74"/>
      <c r="B6" s="574" t="s">
        <v>166</v>
      </c>
      <c r="C6" s="575"/>
      <c r="D6" s="575"/>
      <c r="E6" s="576"/>
      <c r="F6" s="74"/>
      <c r="G6" s="74"/>
      <c r="H6" s="533" t="s">
        <v>167</v>
      </c>
      <c r="I6" s="534"/>
      <c r="J6" s="534"/>
      <c r="K6" s="535"/>
      <c r="L6" s="78"/>
      <c r="M6" s="74"/>
      <c r="N6" s="545" t="s">
        <v>166</v>
      </c>
      <c r="O6" s="546"/>
      <c r="P6" s="546"/>
      <c r="Q6" s="547"/>
      <c r="R6" s="74"/>
    </row>
    <row r="7" spans="1:29" ht="13.5" customHeight="1">
      <c r="A7" s="74"/>
      <c r="B7" s="108" t="s">
        <v>20</v>
      </c>
      <c r="C7" s="156">
        <v>15</v>
      </c>
      <c r="D7" s="23">
        <f>IF(D8&lt;&gt;"",10^(D8/10),"")</f>
        <v>15.000000000000007</v>
      </c>
      <c r="E7" s="109" t="s">
        <v>21</v>
      </c>
      <c r="F7" s="74"/>
      <c r="G7" s="74"/>
      <c r="H7" s="147" t="s">
        <v>361</v>
      </c>
      <c r="I7" s="145" t="s">
        <v>362</v>
      </c>
      <c r="J7" s="149">
        <v>100</v>
      </c>
      <c r="K7" s="154" t="s">
        <v>1</v>
      </c>
      <c r="L7" s="78"/>
      <c r="M7" s="74"/>
      <c r="N7" s="117" t="s">
        <v>23</v>
      </c>
      <c r="O7" s="156"/>
      <c r="P7" s="13">
        <f>IF(O7&lt;&gt;"",O7,0.55)</f>
        <v>0.55000000000000004</v>
      </c>
      <c r="Q7" s="118"/>
      <c r="R7" s="74"/>
      <c r="U7" s="72" t="s">
        <v>159</v>
      </c>
      <c r="V7" s="72">
        <v>1.5</v>
      </c>
    </row>
    <row r="8" spans="1:29" ht="13.5" customHeight="1">
      <c r="A8" s="74"/>
      <c r="B8" s="108" t="s">
        <v>20</v>
      </c>
      <c r="C8" s="156"/>
      <c r="D8" s="23">
        <f>IF(AND(C14&lt;&gt;"",D12&lt;&gt;""),C14-D9-D12,IF(C8&lt;&gt;"",C8,IF(C7&lt;&gt;"",10*LOG10(C7),"")))</f>
        <v>11.760912590556813</v>
      </c>
      <c r="E8" s="109" t="s">
        <v>16</v>
      </c>
      <c r="F8" s="74"/>
      <c r="G8" s="74"/>
      <c r="H8" s="147" t="s">
        <v>2</v>
      </c>
      <c r="I8" s="145" t="s">
        <v>177</v>
      </c>
      <c r="J8" s="149">
        <v>1</v>
      </c>
      <c r="K8" s="154" t="s">
        <v>25</v>
      </c>
      <c r="L8" s="78"/>
      <c r="M8" s="74"/>
      <c r="N8" s="117" t="s">
        <v>26</v>
      </c>
      <c r="O8" s="156">
        <v>2.5</v>
      </c>
      <c r="P8" s="14">
        <f>IF(AND(O10&lt;&gt;"",$D$29&lt;&gt;""),21/$D$29/O10,IF(O8&lt;&gt;"",O8,IF(AND(P9&lt;&gt;"",D30&lt;&gt;""),SQRT(10^(P9/10)*$D$30^2/PI()^2/P7),"")))</f>
        <v>2.5</v>
      </c>
      <c r="Q8" s="118" t="s">
        <v>14</v>
      </c>
      <c r="R8" s="74"/>
      <c r="U8" s="72" t="s">
        <v>160</v>
      </c>
      <c r="V8" s="72">
        <v>2.5</v>
      </c>
    </row>
    <row r="9" spans="1:29" ht="13.5" customHeight="1">
      <c r="A9" s="74"/>
      <c r="B9" s="108" t="s">
        <v>27</v>
      </c>
      <c r="C9" s="156"/>
      <c r="D9" s="23">
        <f>IF(C9&lt;&gt;"",IF(C9&lt;=0,C9,-C9),-3)</f>
        <v>-3</v>
      </c>
      <c r="E9" s="109" t="s">
        <v>16</v>
      </c>
      <c r="F9" s="74"/>
      <c r="G9" s="74"/>
      <c r="H9" s="147" t="s">
        <v>3</v>
      </c>
      <c r="I9" s="146" t="s">
        <v>179</v>
      </c>
      <c r="J9" s="149"/>
      <c r="K9" s="154" t="s">
        <v>25</v>
      </c>
      <c r="L9" s="78"/>
      <c r="M9" s="74"/>
      <c r="N9" s="117" t="s">
        <v>29</v>
      </c>
      <c r="O9" s="156"/>
      <c r="P9" s="14">
        <f>IF(AND($D$30&lt;&gt;"",OR(O10&lt;&gt;"",O8&lt;&gt;"")),10*LOG10(PI()^2*P8^2*P7/$D$30^2),IF(O9&lt;&gt;"",O9,IF(AND(O16&lt;&gt;"",O15&lt;&gt;"",J21&lt;&gt;""),P16+10*LOG10(O15+J21),IF(AND(O16&lt;&gt;"",O15&lt;&gt;""),O16+10*LOG10(O15),""))))</f>
        <v>33.727810637148067</v>
      </c>
      <c r="Q9" s="118" t="s">
        <v>16</v>
      </c>
      <c r="R9" s="74"/>
      <c r="U9" s="72" t="s">
        <v>161</v>
      </c>
      <c r="V9" s="72">
        <v>4</v>
      </c>
    </row>
    <row r="10" spans="1:29" ht="13.5" customHeight="1">
      <c r="A10" s="74"/>
      <c r="B10" s="108" t="s">
        <v>23</v>
      </c>
      <c r="C10" s="156"/>
      <c r="D10" s="22">
        <f>IF(C10&lt;&gt;"",C10,0.55)</f>
        <v>0.55000000000000004</v>
      </c>
      <c r="E10" s="109"/>
      <c r="F10" s="74"/>
      <c r="G10" s="74"/>
      <c r="H10" s="66"/>
      <c r="I10" s="67"/>
      <c r="J10" s="67"/>
      <c r="K10" s="68"/>
      <c r="L10" s="40"/>
      <c r="M10" s="74"/>
      <c r="N10" s="117" t="s">
        <v>31</v>
      </c>
      <c r="O10" s="156"/>
      <c r="P10" s="14">
        <f>IF(O10&lt;&gt;"",O10,IF($D$29="","",IF(O8&lt;&gt;"",21/$D$29/O8,IF(P9&lt;&gt;"",21/$D$29/SQRT(10^(P9/10)*$D$30^2/PI()^2/P7),""))))</f>
        <v>3.3600000000000003</v>
      </c>
      <c r="Q10" s="118" t="s">
        <v>25</v>
      </c>
      <c r="R10" s="74"/>
      <c r="U10" s="72" t="s">
        <v>162</v>
      </c>
      <c r="V10" s="72">
        <v>7.5</v>
      </c>
    </row>
    <row r="11" spans="1:29" ht="13.5" customHeight="1">
      <c r="A11" s="74"/>
      <c r="B11" s="108" t="s">
        <v>26</v>
      </c>
      <c r="C11" s="156">
        <v>0.5</v>
      </c>
      <c r="D11" s="23">
        <f>IF(AND(C13&lt;&gt;"",$D$29&lt;&gt;""),21/$D$29/C13,IF(C11&lt;&gt;"",C11,IF(AND(D12&lt;&gt;"",D30&lt;&gt;""),SQRT(10^(D12/10)*$D$30^2/PI()^2/D10),"")))</f>
        <v>0.5</v>
      </c>
      <c r="E11" s="109" t="s">
        <v>14</v>
      </c>
      <c r="F11" s="74"/>
      <c r="G11" s="74"/>
      <c r="H11" s="375" t="s">
        <v>166</v>
      </c>
      <c r="I11" s="376"/>
      <c r="J11" s="376"/>
      <c r="K11" s="377"/>
      <c r="L11" s="40"/>
      <c r="M11" s="74"/>
      <c r="N11" s="117"/>
      <c r="O11" s="80"/>
      <c r="P11" s="80"/>
      <c r="Q11" s="118"/>
      <c r="R11" s="74"/>
      <c r="U11" s="63" t="s">
        <v>163</v>
      </c>
      <c r="V11" s="63">
        <v>12.5</v>
      </c>
    </row>
    <row r="12" spans="1:29" ht="13.5" customHeight="1">
      <c r="A12" s="74"/>
      <c r="B12" s="108" t="s">
        <v>29</v>
      </c>
      <c r="C12" s="156"/>
      <c r="D12" s="23">
        <f>IF(AND($D$30&lt;&gt;"",OR(C13&lt;&gt;"",C11&lt;&gt;"")),10*LOG10(PI()^2*D11^2*D10/$D$30^2),IF(C12&lt;&gt;"",C12,IF(AND(C14&lt;&gt;"",C8&lt;&gt;""),C14-C8-D9,"")))</f>
        <v>19.748410550427693</v>
      </c>
      <c r="E12" s="109" t="s">
        <v>16</v>
      </c>
      <c r="F12" s="74"/>
      <c r="G12" s="74"/>
      <c r="H12" s="71" t="s">
        <v>361</v>
      </c>
      <c r="I12" s="157">
        <v>68259.106045641558</v>
      </c>
      <c r="J12" s="329">
        <f>IF(I12&lt;&gt;"",I12,J7)</f>
        <v>68259.106045641558</v>
      </c>
      <c r="K12" s="34" t="s">
        <v>1</v>
      </c>
      <c r="L12" s="40"/>
      <c r="M12" s="74"/>
      <c r="N12" s="117" t="s">
        <v>34</v>
      </c>
      <c r="O12" s="156"/>
      <c r="P12" s="15">
        <f>IF(P10&lt;&gt;"",0.1*P10,"")</f>
        <v>0.33600000000000008</v>
      </c>
      <c r="Q12" s="118" t="s">
        <v>25</v>
      </c>
      <c r="R12" s="74"/>
      <c r="U12" s="63" t="s">
        <v>164</v>
      </c>
      <c r="V12" s="63">
        <v>19</v>
      </c>
    </row>
    <row r="13" spans="1:29" ht="13.5" customHeight="1">
      <c r="A13" s="74"/>
      <c r="B13" s="108" t="s">
        <v>31</v>
      </c>
      <c r="C13" s="156"/>
      <c r="D13" s="23">
        <f>IF(C13&lt;&gt;"",C13,IF($D$29="","",IF(C11&lt;&gt;"",21/$D$29/C11,IF(D12&lt;&gt;"",21/$D$29/SQRT(10^(D12/10)*$D$30^2/PI()^2/D10),""))))</f>
        <v>16.8</v>
      </c>
      <c r="E13" s="109" t="s">
        <v>25</v>
      </c>
      <c r="F13" s="74"/>
      <c r="G13" s="74"/>
      <c r="H13" s="71" t="s">
        <v>33</v>
      </c>
      <c r="I13" s="81"/>
      <c r="J13" s="329">
        <f>J12</f>
        <v>68259.106045641558</v>
      </c>
      <c r="K13" s="34" t="s">
        <v>1</v>
      </c>
      <c r="L13" s="59"/>
      <c r="M13" s="74"/>
      <c r="N13" s="117" t="s">
        <v>35</v>
      </c>
      <c r="O13" s="80"/>
      <c r="P13" s="14">
        <f>IF(AND(P12&lt;&gt;"",P10&lt;&gt;""),-12*(P12/P10)^2,"")</f>
        <v>-0.12000000000000005</v>
      </c>
      <c r="Q13" s="118" t="s">
        <v>16</v>
      </c>
      <c r="R13" s="74"/>
      <c r="U13" s="62" t="s">
        <v>158</v>
      </c>
      <c r="V13" s="64">
        <f>C23</f>
        <v>0</v>
      </c>
    </row>
    <row r="14" spans="1:29" ht="13.5" customHeight="1" thickBot="1">
      <c r="A14" s="74"/>
      <c r="B14" s="108" t="s">
        <v>36</v>
      </c>
      <c r="C14" s="156"/>
      <c r="D14" s="23">
        <f>IF(C14&lt;&gt;"",C14,IF(AND(D8&lt;&gt;"",D9&lt;&gt;"",D12&lt;&gt;""),D8+D9+D12,""))</f>
        <v>28.509323140984506</v>
      </c>
      <c r="E14" s="109" t="s">
        <v>16</v>
      </c>
      <c r="F14" s="74"/>
      <c r="G14" s="74"/>
      <c r="H14" s="88"/>
      <c r="I14" s="89"/>
      <c r="J14" s="89"/>
      <c r="K14" s="386"/>
      <c r="L14" s="40"/>
      <c r="M14" s="74"/>
      <c r="N14" s="117"/>
      <c r="O14" s="80"/>
      <c r="P14" s="80"/>
      <c r="Q14" s="118"/>
      <c r="R14" s="74"/>
    </row>
    <row r="15" spans="1:29" ht="13.5" customHeight="1" thickTop="1">
      <c r="A15" s="74"/>
      <c r="B15" s="108"/>
      <c r="C15" s="82"/>
      <c r="D15" s="82"/>
      <c r="E15" s="110"/>
      <c r="F15" s="74"/>
      <c r="G15" s="74"/>
      <c r="H15" s="78"/>
      <c r="I15" s="78"/>
      <c r="J15" s="78"/>
      <c r="K15" s="78"/>
      <c r="L15" s="40"/>
      <c r="M15" s="74"/>
      <c r="N15" s="117" t="s">
        <v>39</v>
      </c>
      <c r="O15" s="156"/>
      <c r="P15" s="14">
        <f>IF(AND(O16&lt;&gt;"",J21&lt;&gt;"",P9&lt;&gt;""),10^((P9-O16)/10)-J21,IF(AND(O16&lt;&gt;"",P9&lt;&gt;""),10^((P9-O16)/10),IF(O15&lt;&gt;"",O15,260)))</f>
        <v>260</v>
      </c>
      <c r="Q15" s="118" t="s">
        <v>40</v>
      </c>
      <c r="R15" s="74"/>
    </row>
    <row r="16" spans="1:29" ht="13.5" customHeight="1">
      <c r="A16" s="74"/>
      <c r="B16" s="108" t="s">
        <v>34</v>
      </c>
      <c r="C16" s="156">
        <v>1</v>
      </c>
      <c r="D16" s="24">
        <f>IF(C16&lt;&gt;"",C16,"")</f>
        <v>1</v>
      </c>
      <c r="E16" s="109" t="s">
        <v>25</v>
      </c>
      <c r="F16" s="74"/>
      <c r="G16" s="74"/>
      <c r="H16" s="78"/>
      <c r="I16" s="78"/>
      <c r="J16" s="78"/>
      <c r="K16" s="78"/>
      <c r="L16" s="40"/>
      <c r="M16" s="74"/>
      <c r="N16" s="117" t="s">
        <v>42</v>
      </c>
      <c r="O16" s="156"/>
      <c r="P16" s="14">
        <f>IF(AND(P9&lt;&gt;"",P15&lt;&gt;""),P9-10*LOG10(P15),"")</f>
        <v>9.5780771574398891</v>
      </c>
      <c r="Q16" s="118" t="s">
        <v>16</v>
      </c>
      <c r="R16" s="74"/>
    </row>
    <row r="17" spans="1:18" ht="13.5" customHeight="1" thickBot="1">
      <c r="A17" s="74"/>
      <c r="B17" s="108" t="s">
        <v>35</v>
      </c>
      <c r="C17" s="82"/>
      <c r="D17" s="23">
        <f>IF(AND(D16&lt;&gt;"",D13&lt;&gt;""),-12*(D16/D13)^2,"")</f>
        <v>-4.2517006802721087E-2</v>
      </c>
      <c r="E17" s="109" t="s">
        <v>16</v>
      </c>
      <c r="F17" s="74"/>
      <c r="G17" s="74"/>
      <c r="H17" s="78"/>
      <c r="I17" s="78"/>
      <c r="J17" s="78"/>
      <c r="K17" s="78"/>
      <c r="L17" s="78"/>
      <c r="M17" s="74"/>
      <c r="N17" s="119"/>
      <c r="O17" s="120"/>
      <c r="P17" s="120"/>
      <c r="Q17" s="121"/>
      <c r="R17" s="74"/>
    </row>
    <row r="18" spans="1:18" ht="13.5" customHeight="1" thickTop="1" thickBot="1">
      <c r="A18" s="74"/>
      <c r="B18" s="108"/>
      <c r="C18" s="82"/>
      <c r="D18" s="82"/>
      <c r="E18" s="110"/>
      <c r="F18" s="74"/>
      <c r="G18" s="74"/>
      <c r="H18" s="78"/>
      <c r="I18" s="78"/>
      <c r="J18" s="78"/>
      <c r="K18" s="78"/>
      <c r="L18" s="78"/>
      <c r="M18" s="74"/>
      <c r="N18" s="74"/>
      <c r="O18" s="74"/>
      <c r="P18" s="74"/>
      <c r="Q18" s="40"/>
      <c r="R18" s="74"/>
    </row>
    <row r="19" spans="1:18" ht="13.5" customHeight="1" thickTop="1">
      <c r="A19" s="74"/>
      <c r="B19" s="108" t="s">
        <v>57</v>
      </c>
      <c r="C19" s="156"/>
      <c r="D19" s="22">
        <f>IF(C19&lt;&gt;"",C19,1)</f>
        <v>1</v>
      </c>
      <c r="E19" s="110"/>
      <c r="F19" s="74"/>
      <c r="G19" s="74"/>
      <c r="H19" s="78"/>
      <c r="I19" s="78"/>
      <c r="J19" s="78"/>
      <c r="K19" s="78"/>
      <c r="L19" s="78"/>
      <c r="M19" s="74"/>
      <c r="N19" s="557" t="s">
        <v>58</v>
      </c>
      <c r="O19" s="558"/>
      <c r="P19" s="558"/>
      <c r="Q19" s="559"/>
      <c r="R19" s="74"/>
    </row>
    <row r="20" spans="1:18" ht="13.5" customHeight="1" thickBot="1">
      <c r="A20" s="74"/>
      <c r="B20" s="111"/>
      <c r="C20" s="112"/>
      <c r="D20" s="113"/>
      <c r="E20" s="114"/>
      <c r="F20" s="74"/>
      <c r="G20" s="74"/>
      <c r="H20" s="74"/>
      <c r="I20" s="74"/>
      <c r="J20" s="74"/>
      <c r="K20" s="74"/>
      <c r="L20" s="78"/>
      <c r="M20" s="74"/>
      <c r="N20" s="122"/>
      <c r="O20" s="86"/>
      <c r="P20" s="86"/>
      <c r="Q20" s="123"/>
      <c r="R20" s="74"/>
    </row>
    <row r="21" spans="1:18" ht="13.5" customHeight="1" thickTop="1" thickBot="1">
      <c r="A21" s="74"/>
      <c r="B21" s="74"/>
      <c r="C21" s="74"/>
      <c r="D21" s="74"/>
      <c r="E21" s="78"/>
      <c r="F21" s="74"/>
      <c r="G21" s="74"/>
      <c r="H21" s="74"/>
      <c r="I21" s="74"/>
      <c r="J21" s="74"/>
      <c r="K21" s="74"/>
      <c r="L21" s="78"/>
      <c r="M21" s="74"/>
      <c r="N21" s="551" t="s">
        <v>166</v>
      </c>
      <c r="O21" s="552"/>
      <c r="P21" s="552"/>
      <c r="Q21" s="553"/>
      <c r="R21" s="74"/>
    </row>
    <row r="22" spans="1:18" ht="13.5" customHeight="1" thickTop="1">
      <c r="A22" s="74"/>
      <c r="B22" s="560" t="s">
        <v>157</v>
      </c>
      <c r="C22" s="561"/>
      <c r="D22" s="561"/>
      <c r="E22" s="562"/>
      <c r="F22" s="74"/>
      <c r="G22" s="74"/>
      <c r="H22" s="74"/>
      <c r="I22" s="74"/>
      <c r="J22" s="74"/>
      <c r="K22" s="74"/>
      <c r="L22" s="78"/>
      <c r="M22" s="74"/>
      <c r="N22" s="122" t="s">
        <v>59</v>
      </c>
      <c r="O22" s="86"/>
      <c r="P22" s="86"/>
      <c r="Q22" s="123"/>
      <c r="R22" s="74"/>
    </row>
    <row r="23" spans="1:18" ht="13.5" customHeight="1" thickBot="1">
      <c r="A23" s="74"/>
      <c r="B23" s="84"/>
      <c r="C23" s="85"/>
      <c r="D23" s="85"/>
      <c r="E23" s="55"/>
      <c r="F23" s="40"/>
      <c r="G23" s="74"/>
      <c r="H23" s="74"/>
      <c r="I23" s="74"/>
      <c r="J23" s="74"/>
      <c r="K23" s="78"/>
      <c r="L23" s="78"/>
      <c r="M23" s="74"/>
      <c r="N23" s="122" t="s">
        <v>47</v>
      </c>
      <c r="O23" s="156"/>
      <c r="P23" s="47">
        <f>IF(O23&lt;&gt;"",O23,IF(D11&lt;&gt;"",PI()*(D11/2)^2*10.25,""))</f>
        <v>2.012582793705961</v>
      </c>
      <c r="Q23" s="123" t="s">
        <v>48</v>
      </c>
      <c r="R23" s="74"/>
    </row>
    <row r="24" spans="1:18" ht="13.5" customHeight="1" thickTop="1">
      <c r="A24" s="74"/>
      <c r="B24" s="533" t="s">
        <v>167</v>
      </c>
      <c r="C24" s="534"/>
      <c r="D24" s="534"/>
      <c r="E24" s="535"/>
      <c r="F24" s="40"/>
      <c r="G24" s="74"/>
      <c r="H24" s="554" t="s">
        <v>43</v>
      </c>
      <c r="I24" s="581"/>
      <c r="J24" s="581"/>
      <c r="K24" s="582"/>
      <c r="L24" s="78"/>
      <c r="M24" s="74"/>
      <c r="N24" s="122"/>
      <c r="O24" s="86"/>
      <c r="P24" s="86"/>
      <c r="Q24" s="123"/>
      <c r="R24" s="74"/>
    </row>
    <row r="25" spans="1:18" ht="13.5" customHeight="1">
      <c r="A25" s="74"/>
      <c r="B25" s="148" t="s">
        <v>394</v>
      </c>
      <c r="C25" s="145" t="s">
        <v>176</v>
      </c>
      <c r="D25" s="149"/>
      <c r="E25" s="150" t="s">
        <v>169</v>
      </c>
      <c r="F25" s="40"/>
      <c r="G25" s="74"/>
      <c r="H25" s="91"/>
      <c r="I25" s="92"/>
      <c r="J25" s="92"/>
      <c r="K25" s="93"/>
      <c r="L25" s="78"/>
      <c r="M25" s="74"/>
      <c r="N25" s="122"/>
      <c r="O25" s="94" t="s">
        <v>60</v>
      </c>
      <c r="P25" s="94" t="s">
        <v>61</v>
      </c>
      <c r="Q25" s="123"/>
      <c r="R25" s="74"/>
    </row>
    <row r="26" spans="1:18" ht="13.5" customHeight="1">
      <c r="A26" s="74"/>
      <c r="B26" s="84"/>
      <c r="C26" s="85"/>
      <c r="D26" s="85"/>
      <c r="E26" s="55"/>
      <c r="F26" s="40"/>
      <c r="G26" s="74"/>
      <c r="H26" s="372" t="s">
        <v>166</v>
      </c>
      <c r="I26" s="373"/>
      <c r="J26" s="373"/>
      <c r="K26" s="374"/>
      <c r="L26" s="78"/>
      <c r="M26" s="74"/>
      <c r="N26" s="122" t="s">
        <v>62</v>
      </c>
      <c r="O26" s="47">
        <f>IF(D7&lt;&gt;"",10^(Constants!M71+Constants!M72*LOG10(D7)+Constants!M73*(LOG10(D7))^2),"")</f>
        <v>3.7932559121976275</v>
      </c>
      <c r="P26" s="47">
        <f>IF(D7&lt;&gt;"",IF(D7&lt;7,1.1,10^(Constants!M66+Constants!M67*LOG10(D7)+Constants!M68*(LOG10(D7))^2)),"")</f>
        <v>1.0180119494661424</v>
      </c>
      <c r="Q26" s="123" t="s">
        <v>48</v>
      </c>
      <c r="R26" s="74"/>
    </row>
    <row r="27" spans="1:18" ht="13.5" customHeight="1">
      <c r="A27" s="74"/>
      <c r="B27" s="542" t="s">
        <v>166</v>
      </c>
      <c r="C27" s="583"/>
      <c r="D27" s="583"/>
      <c r="E27" s="584"/>
      <c r="F27" s="40"/>
      <c r="G27" s="74"/>
      <c r="H27" s="91" t="s">
        <v>36</v>
      </c>
      <c r="I27" s="92"/>
      <c r="J27" s="18">
        <f>IF(D14&lt;&gt;"",D14,"")</f>
        <v>28.509323140984506</v>
      </c>
      <c r="K27" s="43" t="s">
        <v>16</v>
      </c>
      <c r="L27" s="78"/>
      <c r="M27" s="74"/>
      <c r="N27" s="122" t="s">
        <v>63</v>
      </c>
      <c r="O27" s="47">
        <f>IF(D7&lt;&gt;"",IF(D7&lt;0.2,8.4,10^(Constants!H71+Constants!H72*LOG10(D7)+Constants!H73*(LOG10(D7))^2)),"")</f>
        <v>33.555834497232432</v>
      </c>
      <c r="P27" s="47">
        <f>IF(D7&lt;&gt;"",10^(Constants!H66+Constants!H67*LOG10(D7)+Constants!H68*(LOG10(D7))^2),"")</f>
        <v>59.042234028940292</v>
      </c>
      <c r="Q27" s="123" t="s">
        <v>21</v>
      </c>
      <c r="R27" s="74"/>
    </row>
    <row r="28" spans="1:18" ht="13.5" customHeight="1">
      <c r="A28" s="74"/>
      <c r="B28" s="84" t="s">
        <v>173</v>
      </c>
      <c r="C28" s="85">
        <v>2</v>
      </c>
      <c r="D28" s="51"/>
      <c r="E28" s="55"/>
      <c r="F28" s="40"/>
      <c r="G28" s="74"/>
      <c r="H28" s="91" t="s">
        <v>46</v>
      </c>
      <c r="I28" s="92"/>
      <c r="J28" s="18">
        <f>IF(AND(D30&lt;&gt;"",J13&lt;&gt;""),10*LOG10((D30/4/PI()/J13/1000)^2),"")</f>
        <v>-197.08979532029804</v>
      </c>
      <c r="K28" s="43" t="s">
        <v>16</v>
      </c>
      <c r="L28" s="78"/>
      <c r="M28" s="74"/>
      <c r="N28" s="122" t="s">
        <v>64</v>
      </c>
      <c r="O28" s="47">
        <f>IF(O27&lt;&gt;"",O27*D19,"")</f>
        <v>33.555834497232432</v>
      </c>
      <c r="P28" s="47">
        <f>IF(P27&lt;&gt;"",P27*D19,"")</f>
        <v>59.042234028940292</v>
      </c>
      <c r="Q28" s="123" t="s">
        <v>21</v>
      </c>
      <c r="R28" s="74"/>
    </row>
    <row r="29" spans="1:18" ht="13.5" customHeight="1">
      <c r="A29" s="74"/>
      <c r="B29" s="84" t="s">
        <v>8</v>
      </c>
      <c r="C29" s="156"/>
      <c r="D29" s="49">
        <f>IF(C29&lt;&gt;"",C29,IF(C30&lt;&gt;"",Speed_of_Light/C30/10^9,INDEX(V7:V13,C28)))</f>
        <v>2.5</v>
      </c>
      <c r="E29" s="55" t="s">
        <v>9</v>
      </c>
      <c r="F29" s="40"/>
      <c r="G29" s="74"/>
      <c r="H29" s="91"/>
      <c r="I29" s="92"/>
      <c r="J29" s="18"/>
      <c r="K29" s="43"/>
      <c r="L29" s="78"/>
      <c r="M29" s="74"/>
      <c r="N29" s="122"/>
      <c r="O29" s="86"/>
      <c r="P29" s="86"/>
      <c r="Q29" s="123"/>
      <c r="R29" s="74"/>
    </row>
    <row r="30" spans="1:18" ht="13.5" customHeight="1">
      <c r="A30" s="74"/>
      <c r="B30" s="84" t="s">
        <v>13</v>
      </c>
      <c r="C30" s="156"/>
      <c r="D30" s="50">
        <f>IF(D29&lt;&gt;"",Speed_of_Light/(D29*10^9),"")</f>
        <v>0.11991698319999999</v>
      </c>
      <c r="E30" s="55" t="s">
        <v>14</v>
      </c>
      <c r="F30" s="40"/>
      <c r="G30" s="74"/>
      <c r="H30" s="91" t="s">
        <v>42</v>
      </c>
      <c r="I30" s="92"/>
      <c r="J30" s="18">
        <f>IF(P16&lt;&gt;"",P16,"")</f>
        <v>9.5780771574398891</v>
      </c>
      <c r="K30" s="43" t="s">
        <v>16</v>
      </c>
      <c r="L30" s="78"/>
      <c r="M30" s="74"/>
      <c r="N30" s="548" t="s">
        <v>168</v>
      </c>
      <c r="O30" s="549"/>
      <c r="P30" s="549"/>
      <c r="Q30" s="550"/>
      <c r="R30" s="74"/>
    </row>
    <row r="31" spans="1:18" ht="13.5" customHeight="1">
      <c r="A31" s="74"/>
      <c r="B31" s="84" t="s">
        <v>309</v>
      </c>
      <c r="C31" s="48"/>
      <c r="D31" s="330" t="s">
        <v>306</v>
      </c>
      <c r="E31" s="55"/>
      <c r="F31" s="40"/>
      <c r="G31" s="74"/>
      <c r="H31" s="91" t="s">
        <v>50</v>
      </c>
      <c r="I31" s="92"/>
      <c r="J31" s="18">
        <f>IF(AND(D17&lt;&gt;"",P13&lt;&gt;""),D17+P13,"")</f>
        <v>-0.16251700680272113</v>
      </c>
      <c r="K31" s="43" t="s">
        <v>16</v>
      </c>
      <c r="L31" s="78"/>
      <c r="M31" s="74"/>
      <c r="N31" s="124" t="s">
        <v>154</v>
      </c>
      <c r="O31" s="87" t="s">
        <v>172</v>
      </c>
      <c r="P31" s="151">
        <f>P23</f>
        <v>2.012582793705961</v>
      </c>
      <c r="Q31" s="153" t="s">
        <v>48</v>
      </c>
      <c r="R31" s="74"/>
    </row>
    <row r="32" spans="1:18" ht="13.5" customHeight="1">
      <c r="A32" s="74"/>
      <c r="B32" s="84"/>
      <c r="C32" s="48"/>
      <c r="D32" s="48"/>
      <c r="E32" s="55"/>
      <c r="F32" s="40"/>
      <c r="G32" s="74"/>
      <c r="H32" s="91"/>
      <c r="I32" s="92"/>
      <c r="J32" s="16"/>
      <c r="K32" s="93"/>
      <c r="L32" s="78"/>
      <c r="M32" s="74"/>
      <c r="N32" s="124" t="s">
        <v>148</v>
      </c>
      <c r="O32" s="87" t="s">
        <v>172</v>
      </c>
      <c r="P32" s="151">
        <f>O26</f>
        <v>3.7932559121976275</v>
      </c>
      <c r="Q32" s="153" t="s">
        <v>48</v>
      </c>
      <c r="R32" s="74"/>
    </row>
    <row r="33" spans="1:18" ht="13.5" customHeight="1">
      <c r="A33" s="74"/>
      <c r="B33" s="53" t="s">
        <v>10</v>
      </c>
      <c r="C33" s="155">
        <v>124000</v>
      </c>
      <c r="D33" s="51">
        <f>IF(C33&lt;&gt;"",C33,"")</f>
        <v>124000</v>
      </c>
      <c r="E33" s="55" t="s">
        <v>11</v>
      </c>
      <c r="F33" s="40"/>
      <c r="G33" s="74"/>
      <c r="H33" s="91" t="s">
        <v>51</v>
      </c>
      <c r="I33" s="92"/>
      <c r="J33" s="18">
        <f>IF(AND(D33&lt;&gt;"",J27&lt;&gt;"",J28&lt;&gt;"",J30&lt;&gt;"",J31&lt;&gt;""),J27+J28+J30+J31-10*LOG10(Boltzmann_Constant)-10*LOG10(D33),"")</f>
        <v>18.500009982772106</v>
      </c>
      <c r="K33" s="43" t="s">
        <v>16</v>
      </c>
      <c r="L33" s="40"/>
      <c r="M33" s="74"/>
      <c r="N33" s="124" t="s">
        <v>149</v>
      </c>
      <c r="O33" s="87" t="s">
        <v>172</v>
      </c>
      <c r="P33" s="151">
        <f>P26</f>
        <v>1.0180119494661424</v>
      </c>
      <c r="Q33" s="153" t="s">
        <v>48</v>
      </c>
      <c r="R33" s="74"/>
    </row>
    <row r="34" spans="1:18" ht="13.5" customHeight="1">
      <c r="A34" s="74"/>
      <c r="B34" s="53" t="s">
        <v>12</v>
      </c>
      <c r="C34" s="155">
        <v>1.0000000000000001E-5</v>
      </c>
      <c r="D34" s="50">
        <f>IF(C34&lt;&gt;"",C34,10^-5)</f>
        <v>1.0000000000000001E-5</v>
      </c>
      <c r="E34" s="55"/>
      <c r="F34" s="74"/>
      <c r="G34" s="74"/>
      <c r="H34" s="91" t="s">
        <v>52</v>
      </c>
      <c r="I34" s="92"/>
      <c r="J34" s="18">
        <f>IF(J33&lt;&gt;"",J33+10*LOG10(D33),"")</f>
        <v>69.434226834394451</v>
      </c>
      <c r="K34" s="43" t="s">
        <v>16</v>
      </c>
      <c r="L34" s="78"/>
      <c r="M34" s="74"/>
      <c r="N34" s="124" t="s">
        <v>150</v>
      </c>
      <c r="O34" s="87" t="s">
        <v>172</v>
      </c>
      <c r="P34" s="151">
        <f>O27</f>
        <v>33.555834497232432</v>
      </c>
      <c r="Q34" s="153" t="s">
        <v>21</v>
      </c>
      <c r="R34" s="74"/>
    </row>
    <row r="35" spans="1:18" ht="13.5" customHeight="1">
      <c r="A35" s="74"/>
      <c r="B35" s="53" t="s">
        <v>15</v>
      </c>
      <c r="C35" s="156"/>
      <c r="D35" s="52">
        <f>IF(C35&lt;&gt;"",C35,VLOOKUP(D31,C51:I55,MATCH(D34,C51:I51,0),FALSE))</f>
        <v>10.5</v>
      </c>
      <c r="E35" s="55" t="s">
        <v>16</v>
      </c>
      <c r="F35" s="74"/>
      <c r="G35" s="74"/>
      <c r="H35" s="91" t="s">
        <v>459</v>
      </c>
      <c r="I35" s="18" t="s">
        <v>371</v>
      </c>
      <c r="J35" s="18">
        <f>VLOOKUP(I35,N49:P52,2,FALSE)</f>
        <v>6</v>
      </c>
      <c r="K35" s="43" t="s">
        <v>16</v>
      </c>
      <c r="L35" s="40"/>
      <c r="M35" s="74"/>
      <c r="N35" s="124" t="s">
        <v>151</v>
      </c>
      <c r="O35" s="87" t="s">
        <v>172</v>
      </c>
      <c r="P35" s="151">
        <f>P27</f>
        <v>59.042234028940292</v>
      </c>
      <c r="Q35" s="153" t="s">
        <v>21</v>
      </c>
      <c r="R35" s="74"/>
    </row>
    <row r="36" spans="1:18" ht="13.5" customHeight="1">
      <c r="A36" s="74"/>
      <c r="B36" s="84"/>
      <c r="C36" s="85"/>
      <c r="D36" s="85"/>
      <c r="E36" s="55"/>
      <c r="F36" s="74"/>
      <c r="G36" s="74"/>
      <c r="H36" s="91" t="s">
        <v>53</v>
      </c>
      <c r="I36" s="156"/>
      <c r="J36" s="18">
        <f>IF(I36&lt;&gt;"",IF(I36&lt;=0,I36,-I36),-2)</f>
        <v>-2</v>
      </c>
      <c r="K36" s="43" t="s">
        <v>16</v>
      </c>
      <c r="L36" s="40"/>
      <c r="M36" s="74"/>
      <c r="N36" s="124" t="s">
        <v>152</v>
      </c>
      <c r="O36" s="87" t="s">
        <v>172</v>
      </c>
      <c r="P36" s="151">
        <f>O28</f>
        <v>33.555834497232432</v>
      </c>
      <c r="Q36" s="153" t="s">
        <v>21</v>
      </c>
      <c r="R36" s="74"/>
    </row>
    <row r="37" spans="1:18" ht="13.5" customHeight="1">
      <c r="A37" s="74"/>
      <c r="B37" s="405" t="s">
        <v>168</v>
      </c>
      <c r="C37" s="404"/>
      <c r="D37" s="404"/>
      <c r="E37" s="406"/>
      <c r="F37" s="74"/>
      <c r="G37" s="74"/>
      <c r="H37" s="91" t="s">
        <v>54</v>
      </c>
      <c r="I37" s="92" t="str">
        <f>IF(J37&lt;VLOOKUP(I35,N49:P52,2,FALSE),"Margin is too low","Link is closed")</f>
        <v>Link is closed</v>
      </c>
      <c r="J37" s="18">
        <f>IF(AND(D35&lt;&gt;"",J33&lt;&gt;""),J33+J36-D35,"")</f>
        <v>6.0000099827721058</v>
      </c>
      <c r="K37" s="43" t="s">
        <v>16</v>
      </c>
      <c r="L37" s="40"/>
      <c r="M37" s="74"/>
      <c r="N37" s="124" t="s">
        <v>153</v>
      </c>
      <c r="O37" s="87" t="s">
        <v>172</v>
      </c>
      <c r="P37" s="151">
        <f>P28</f>
        <v>59.042234028940292</v>
      </c>
      <c r="Q37" s="153" t="s">
        <v>21</v>
      </c>
      <c r="R37" s="74"/>
    </row>
    <row r="38" spans="1:18" ht="13.5" customHeight="1" thickBot="1">
      <c r="A38" s="74"/>
      <c r="B38" s="105" t="s">
        <v>156</v>
      </c>
      <c r="C38" s="73" t="s">
        <v>176</v>
      </c>
      <c r="D38" s="151">
        <f>D33/1000</f>
        <v>124</v>
      </c>
      <c r="E38" s="152" t="s">
        <v>170</v>
      </c>
      <c r="F38" s="74"/>
      <c r="G38" s="74"/>
      <c r="H38" s="98"/>
      <c r="I38" s="99"/>
      <c r="J38" s="99"/>
      <c r="K38" s="69"/>
      <c r="L38" s="40"/>
      <c r="M38" s="74"/>
      <c r="N38" s="125"/>
      <c r="O38" s="126"/>
      <c r="P38" s="126"/>
      <c r="Q38" s="127"/>
      <c r="R38" s="74"/>
    </row>
    <row r="39" spans="1:18" ht="13.5" customHeight="1" thickTop="1" thickBot="1">
      <c r="A39" s="74"/>
      <c r="B39" s="95"/>
      <c r="C39" s="96"/>
      <c r="D39" s="96"/>
      <c r="E39" s="97"/>
      <c r="F39" s="74"/>
      <c r="G39" s="74"/>
      <c r="H39" s="74"/>
      <c r="I39" s="74"/>
      <c r="J39" s="74"/>
      <c r="K39" s="74"/>
      <c r="L39" s="74"/>
      <c r="M39" s="74"/>
      <c r="N39" s="74"/>
      <c r="O39" s="74"/>
      <c r="P39" s="74"/>
      <c r="Q39" s="40"/>
      <c r="R39" s="74"/>
    </row>
    <row r="40" spans="1:18" ht="13.5" customHeight="1" thickTop="1">
      <c r="A40" s="74"/>
      <c r="B40" s="74"/>
      <c r="C40" s="74"/>
      <c r="D40" s="74"/>
      <c r="E40" s="74"/>
      <c r="F40" s="74"/>
      <c r="G40" s="74"/>
      <c r="H40" s="74"/>
      <c r="I40" s="74"/>
      <c r="J40" s="74"/>
      <c r="K40" s="74"/>
      <c r="L40" s="74"/>
      <c r="M40" s="74"/>
      <c r="N40" s="74"/>
      <c r="O40" s="74"/>
      <c r="P40" s="74"/>
      <c r="Q40" s="40"/>
      <c r="R40" s="74"/>
    </row>
    <row r="41" spans="1:18">
      <c r="A41" s="74"/>
      <c r="B41" s="74"/>
      <c r="C41" s="74"/>
      <c r="D41" s="74"/>
      <c r="E41" s="74"/>
      <c r="F41" s="74"/>
      <c r="G41" s="74"/>
      <c r="H41" s="74"/>
      <c r="I41" s="74"/>
      <c r="J41" s="74"/>
      <c r="K41" s="74"/>
      <c r="L41" s="74"/>
      <c r="M41" s="74"/>
      <c r="N41" s="74"/>
      <c r="O41" s="74"/>
      <c r="P41" s="74"/>
      <c r="Q41" s="40"/>
      <c r="R41" s="74"/>
    </row>
    <row r="42" spans="1:18">
      <c r="A42" s="74"/>
      <c r="B42" s="74"/>
      <c r="C42" s="74"/>
      <c r="D42" s="74"/>
      <c r="E42" s="78"/>
      <c r="F42" s="74"/>
      <c r="G42" s="74"/>
      <c r="H42" s="74"/>
      <c r="I42" s="74"/>
      <c r="J42" s="74"/>
      <c r="K42" s="40"/>
      <c r="L42" s="74"/>
      <c r="M42" s="74"/>
      <c r="N42" s="74"/>
      <c r="O42" s="74"/>
      <c r="P42" s="74"/>
      <c r="Q42" s="40"/>
      <c r="R42" s="74"/>
    </row>
    <row r="43" spans="1:18">
      <c r="E43" s="61"/>
      <c r="K43" s="61"/>
      <c r="L43" s="61"/>
      <c r="Q43" s="61"/>
    </row>
    <row r="44" spans="1:18">
      <c r="E44" s="61"/>
      <c r="K44" s="61"/>
      <c r="L44" s="61"/>
      <c r="Q44" s="61"/>
    </row>
    <row r="45" spans="1:18">
      <c r="E45" s="61"/>
      <c r="K45" s="61"/>
      <c r="L45" s="61"/>
      <c r="Q45" s="61"/>
    </row>
    <row r="46" spans="1:18">
      <c r="E46" s="61"/>
      <c r="K46" s="61"/>
      <c r="L46" s="388"/>
      <c r="M46" s="388"/>
      <c r="N46" s="388"/>
      <c r="O46" s="388"/>
      <c r="P46" s="388"/>
      <c r="Q46" s="61"/>
    </row>
    <row r="47" spans="1:18">
      <c r="E47" s="61"/>
      <c r="K47" s="61"/>
      <c r="L47" s="388"/>
      <c r="M47" s="388"/>
      <c r="N47" s="388"/>
      <c r="O47" s="388"/>
      <c r="P47" s="388"/>
      <c r="Q47" s="61"/>
    </row>
    <row r="48" spans="1:18">
      <c r="E48" s="61"/>
      <c r="K48" s="61"/>
      <c r="L48" s="388"/>
      <c r="M48" s="388"/>
      <c r="N48" s="388" t="s">
        <v>368</v>
      </c>
      <c r="O48" s="388" t="s">
        <v>54</v>
      </c>
      <c r="P48" s="388" t="s">
        <v>369</v>
      </c>
      <c r="Q48" s="61"/>
    </row>
    <row r="49" spans="2:17">
      <c r="E49" s="61"/>
      <c r="K49" s="61"/>
      <c r="L49" s="388"/>
      <c r="M49" s="388"/>
      <c r="N49" s="388" t="s">
        <v>370</v>
      </c>
      <c r="O49" s="388">
        <v>9</v>
      </c>
      <c r="P49" s="388" t="s">
        <v>16</v>
      </c>
      <c r="Q49" s="61"/>
    </row>
    <row r="50" spans="2:17">
      <c r="E50" s="61"/>
      <c r="K50" s="61"/>
      <c r="L50" s="388"/>
      <c r="M50" s="388"/>
      <c r="N50" s="388" t="s">
        <v>371</v>
      </c>
      <c r="O50" s="388">
        <v>6</v>
      </c>
      <c r="P50" s="388" t="s">
        <v>16</v>
      </c>
      <c r="Q50" s="61"/>
    </row>
    <row r="51" spans="2:17">
      <c r="C51" s="332"/>
      <c r="D51" s="343" t="s">
        <v>310</v>
      </c>
      <c r="E51" s="343" t="s">
        <v>311</v>
      </c>
      <c r="F51" s="333">
        <v>1E-3</v>
      </c>
      <c r="G51" s="334">
        <v>1E-4</v>
      </c>
      <c r="H51" s="334">
        <v>1.0000000000000001E-5</v>
      </c>
      <c r="I51" s="334">
        <v>9.9999999999999995E-7</v>
      </c>
      <c r="K51" s="61"/>
      <c r="L51" s="388"/>
      <c r="M51" s="388"/>
      <c r="N51" s="388" t="s">
        <v>372</v>
      </c>
      <c r="O51" s="388">
        <v>3</v>
      </c>
      <c r="P51" s="388" t="s">
        <v>16</v>
      </c>
      <c r="Q51" s="61"/>
    </row>
    <row r="52" spans="2:17">
      <c r="C52" s="335" t="s">
        <v>305</v>
      </c>
      <c r="D52" s="335">
        <v>1</v>
      </c>
      <c r="E52" s="333">
        <v>1E-3</v>
      </c>
      <c r="F52" s="335">
        <v>8</v>
      </c>
      <c r="G52" s="335">
        <v>9.5</v>
      </c>
      <c r="H52" s="335">
        <v>10.5</v>
      </c>
      <c r="I52" s="335">
        <v>11.5</v>
      </c>
      <c r="K52" s="61"/>
      <c r="L52" s="388"/>
      <c r="M52" s="388"/>
      <c r="N52" s="388" t="s">
        <v>373</v>
      </c>
      <c r="O52" s="388">
        <v>0</v>
      </c>
      <c r="P52" s="388" t="s">
        <v>16</v>
      </c>
      <c r="Q52" s="61"/>
    </row>
    <row r="53" spans="2:17">
      <c r="B53" s="331"/>
      <c r="C53" s="336" t="s">
        <v>306</v>
      </c>
      <c r="D53" s="336">
        <v>2</v>
      </c>
      <c r="E53" s="334">
        <v>1E-4</v>
      </c>
      <c r="F53" s="336">
        <v>8</v>
      </c>
      <c r="G53" s="336">
        <v>9.5</v>
      </c>
      <c r="H53" s="336">
        <v>10.5</v>
      </c>
      <c r="I53" s="336">
        <v>11.5</v>
      </c>
      <c r="K53" s="61"/>
      <c r="L53" s="388"/>
      <c r="M53" s="388"/>
      <c r="N53" s="388"/>
      <c r="O53" s="388"/>
      <c r="P53" s="388"/>
      <c r="Q53" s="61"/>
    </row>
    <row r="54" spans="2:17">
      <c r="C54" s="336" t="s">
        <v>307</v>
      </c>
      <c r="D54" s="337">
        <v>2</v>
      </c>
      <c r="E54" s="334">
        <v>1.0000000000000001E-5</v>
      </c>
      <c r="F54" s="336">
        <v>11</v>
      </c>
      <c r="G54" s="336">
        <v>13</v>
      </c>
      <c r="H54" s="336">
        <v>14</v>
      </c>
      <c r="I54" s="336">
        <v>15</v>
      </c>
      <c r="K54" s="61"/>
      <c r="L54" s="388"/>
      <c r="M54" s="388"/>
      <c r="N54" s="388"/>
      <c r="O54" s="388"/>
      <c r="P54" s="388"/>
      <c r="Q54" s="61"/>
    </row>
    <row r="55" spans="2:17">
      <c r="C55" s="336" t="s">
        <v>308</v>
      </c>
      <c r="D55" s="337">
        <v>4</v>
      </c>
      <c r="E55" s="334">
        <v>9.9999999999999995E-7</v>
      </c>
      <c r="F55" s="337">
        <v>11</v>
      </c>
      <c r="G55" s="336">
        <v>13</v>
      </c>
      <c r="H55" s="336">
        <v>14.5</v>
      </c>
      <c r="I55" s="336">
        <v>15.5</v>
      </c>
      <c r="K55" s="61"/>
      <c r="L55" s="388"/>
      <c r="M55" s="388"/>
      <c r="N55" s="388"/>
      <c r="O55" s="388"/>
      <c r="P55" s="388"/>
      <c r="Q55" s="61"/>
    </row>
    <row r="56" spans="2:17">
      <c r="C56" s="338"/>
      <c r="D56" s="338"/>
      <c r="E56" s="338"/>
      <c r="F56" s="338"/>
      <c r="G56" s="338"/>
      <c r="H56" s="338"/>
      <c r="I56" s="338"/>
      <c r="K56" s="61"/>
      <c r="L56" s="388"/>
      <c r="M56" s="388"/>
      <c r="N56" s="388"/>
      <c r="O56" s="388"/>
      <c r="P56" s="388"/>
      <c r="Q56" s="61"/>
    </row>
    <row r="57" spans="2:17">
      <c r="C57" s="338"/>
      <c r="D57" s="338"/>
      <c r="E57" s="338"/>
      <c r="F57" s="338"/>
      <c r="G57" s="338"/>
      <c r="H57" s="338"/>
      <c r="I57" s="338"/>
      <c r="K57" s="61"/>
      <c r="L57" s="388"/>
      <c r="M57" s="388"/>
      <c r="N57" s="388"/>
      <c r="O57" s="388"/>
      <c r="P57" s="388"/>
      <c r="Q57" s="61"/>
    </row>
    <row r="58" spans="2:17">
      <c r="C58" s="338"/>
      <c r="D58" s="338"/>
      <c r="E58" s="338"/>
      <c r="F58" s="338"/>
      <c r="G58" s="338"/>
      <c r="H58" s="338"/>
      <c r="I58" s="338"/>
      <c r="K58" s="61"/>
      <c r="L58" s="61"/>
      <c r="Q58" s="61"/>
    </row>
    <row r="59" spans="2:17">
      <c r="C59" s="338"/>
      <c r="D59" s="338"/>
      <c r="E59" s="338"/>
      <c r="F59" s="338"/>
      <c r="G59" s="338"/>
      <c r="H59" s="338"/>
      <c r="I59" s="338"/>
      <c r="K59" s="61"/>
      <c r="L59" s="61"/>
      <c r="Q59" s="61"/>
    </row>
    <row r="60" spans="2:17">
      <c r="C60" s="339"/>
      <c r="D60" s="340" t="s">
        <v>305</v>
      </c>
      <c r="E60" s="340" t="s">
        <v>307</v>
      </c>
      <c r="F60" s="340" t="s">
        <v>308</v>
      </c>
      <c r="G60" s="338"/>
      <c r="H60" s="338"/>
      <c r="I60" s="338"/>
      <c r="K60" s="61"/>
      <c r="L60" s="61"/>
      <c r="Q60" s="61"/>
    </row>
    <row r="61" spans="2:17">
      <c r="C61" s="341">
        <v>0</v>
      </c>
      <c r="D61" s="342">
        <v>7.8649603999999998E-2</v>
      </c>
      <c r="E61" s="342">
        <v>0.11618786</v>
      </c>
      <c r="F61" s="342">
        <v>0.11869431</v>
      </c>
      <c r="G61" s="338"/>
      <c r="H61" s="338"/>
      <c r="I61" s="338"/>
      <c r="K61" s="61"/>
      <c r="L61" s="61"/>
      <c r="Q61" s="61"/>
    </row>
    <row r="62" spans="2:17">
      <c r="C62" s="341">
        <v>1</v>
      </c>
      <c r="D62" s="342">
        <v>5.6281952000000003E-2</v>
      </c>
      <c r="E62" s="342">
        <v>9.7637063999999996E-2</v>
      </c>
      <c r="F62" s="342">
        <v>0.10335091</v>
      </c>
      <c r="G62" s="338"/>
      <c r="H62" s="338"/>
      <c r="I62" s="338"/>
      <c r="K62" s="61"/>
      <c r="L62" s="61"/>
      <c r="Q62" s="61"/>
    </row>
    <row r="63" spans="2:17">
      <c r="C63" s="341">
        <v>2</v>
      </c>
      <c r="D63" s="342">
        <v>3.7506128E-2</v>
      </c>
      <c r="E63" s="342">
        <v>7.9321418000000005E-2</v>
      </c>
      <c r="F63" s="342">
        <v>8.7181977999999993E-2</v>
      </c>
      <c r="G63" s="338"/>
      <c r="H63" s="338"/>
      <c r="I63" s="338"/>
      <c r="K63" s="61"/>
      <c r="L63" s="61"/>
      <c r="Q63" s="61"/>
    </row>
    <row r="64" spans="2:17">
      <c r="C64" s="341">
        <v>3</v>
      </c>
      <c r="D64" s="342">
        <v>2.2878407999999999E-2</v>
      </c>
      <c r="E64" s="342">
        <v>6.1825135000000003E-2</v>
      </c>
      <c r="F64" s="342">
        <v>7.0706306999999996E-2</v>
      </c>
      <c r="G64" s="338"/>
      <c r="H64" s="338"/>
      <c r="I64" s="338"/>
      <c r="K64" s="61"/>
      <c r="L64" s="61"/>
      <c r="Q64" s="61"/>
    </row>
    <row r="65" spans="3:17">
      <c r="C65" s="341">
        <v>4</v>
      </c>
      <c r="D65" s="342">
        <v>1.2500818E-2</v>
      </c>
      <c r="E65" s="342">
        <v>4.5790943000000001E-2</v>
      </c>
      <c r="F65" s="342">
        <v>5.4616241000000003E-2</v>
      </c>
      <c r="G65" s="338"/>
      <c r="H65" s="338"/>
      <c r="I65" s="338"/>
      <c r="K65" s="61"/>
      <c r="L65" s="61"/>
      <c r="Q65" s="61"/>
    </row>
    <row r="66" spans="3:17">
      <c r="C66" s="341">
        <v>5</v>
      </c>
      <c r="D66" s="342">
        <v>5.9538671000000003E-3</v>
      </c>
      <c r="E66" s="342">
        <v>3.1843303000000003E-2</v>
      </c>
      <c r="F66" s="342">
        <v>3.9717537999999997E-2</v>
      </c>
      <c r="G66" s="338"/>
      <c r="H66" s="338"/>
      <c r="I66" s="338"/>
      <c r="K66" s="61"/>
      <c r="L66" s="61"/>
      <c r="Q66" s="61"/>
    </row>
    <row r="67" spans="3:17">
      <c r="C67" s="341">
        <v>6</v>
      </c>
      <c r="D67" s="342">
        <v>2.3882907999999998E-3</v>
      </c>
      <c r="E67" s="342">
        <v>2.0479924E-2</v>
      </c>
      <c r="F67" s="342">
        <v>2.6806703000000001E-2</v>
      </c>
      <c r="G67" s="338"/>
      <c r="H67" s="338"/>
      <c r="I67" s="338"/>
      <c r="K67" s="61"/>
      <c r="L67" s="61"/>
      <c r="Q67" s="61"/>
    </row>
    <row r="68" spans="3:17">
      <c r="C68" s="341">
        <v>7</v>
      </c>
      <c r="D68" s="342">
        <v>7.7267481999999997E-4</v>
      </c>
      <c r="E68" s="342">
        <v>1.1952769E-2</v>
      </c>
      <c r="F68" s="342">
        <v>1.6499646E-2</v>
      </c>
      <c r="G68" s="338"/>
      <c r="H68" s="338"/>
      <c r="I68" s="338"/>
      <c r="K68" s="61"/>
      <c r="L68" s="61"/>
      <c r="Q68" s="61"/>
    </row>
    <row r="69" spans="3:17">
      <c r="C69" s="341">
        <v>8</v>
      </c>
      <c r="D69" s="342">
        <v>1.9090776999999999E-4</v>
      </c>
      <c r="E69" s="342">
        <v>6.1810518000000002E-3</v>
      </c>
      <c r="F69" s="342">
        <v>9.0624729999999997E-3</v>
      </c>
      <c r="G69" s="338"/>
      <c r="H69" s="338"/>
      <c r="I69" s="338"/>
      <c r="K69" s="61"/>
      <c r="L69" s="61"/>
      <c r="Q69" s="61"/>
    </row>
    <row r="70" spans="3:17">
      <c r="C70" s="341">
        <v>9</v>
      </c>
      <c r="D70" s="342">
        <v>3.3627227999999999E-5</v>
      </c>
      <c r="E70" s="342">
        <v>2.7481335E-3</v>
      </c>
      <c r="F70" s="342">
        <v>4.3234856000000004E-3</v>
      </c>
      <c r="G70" s="338"/>
      <c r="H70" s="338"/>
      <c r="I70" s="338"/>
      <c r="K70" s="61"/>
      <c r="L70" s="61"/>
      <c r="Q70" s="61"/>
    </row>
    <row r="71" spans="3:17">
      <c r="C71" s="341">
        <v>10</v>
      </c>
      <c r="D71" s="342">
        <v>3.8721081999999998E-6</v>
      </c>
      <c r="E71" s="342">
        <v>1.0113953000000001E-3</v>
      </c>
      <c r="F71" s="342">
        <v>1.7319644E-3</v>
      </c>
      <c r="G71" s="338"/>
      <c r="H71" s="338"/>
      <c r="I71" s="338"/>
      <c r="K71" s="61"/>
      <c r="L71" s="61"/>
      <c r="Q71" s="61"/>
    </row>
    <row r="72" spans="3:17">
      <c r="C72" s="341">
        <v>11</v>
      </c>
      <c r="D72" s="342">
        <v>2.6130679999999999E-7</v>
      </c>
      <c r="E72" s="342">
        <v>2.9372924999999998E-4</v>
      </c>
      <c r="F72" s="342">
        <v>5.5822086000000004E-4</v>
      </c>
      <c r="G72" s="338"/>
      <c r="H72" s="338"/>
      <c r="I72" s="338"/>
      <c r="K72" s="61"/>
      <c r="L72" s="61"/>
      <c r="Q72" s="61"/>
    </row>
    <row r="73" spans="3:17">
      <c r="C73" s="341">
        <v>12</v>
      </c>
      <c r="D73" s="342">
        <v>9.0060103999999997E-9</v>
      </c>
      <c r="E73" s="342">
        <v>6.3378787999999998E-5</v>
      </c>
      <c r="F73" s="342">
        <v>1.3712408E-4</v>
      </c>
      <c r="G73" s="338"/>
      <c r="H73" s="338"/>
      <c r="I73" s="338"/>
      <c r="K73" s="61"/>
      <c r="L73" s="61"/>
      <c r="Q73" s="61"/>
    </row>
    <row r="74" spans="3:17">
      <c r="C74" s="341">
        <v>13</v>
      </c>
      <c r="D74" s="342"/>
      <c r="E74" s="342">
        <v>9.4172645E-6</v>
      </c>
      <c r="F74" s="342">
        <v>2.3968291000000001E-5</v>
      </c>
      <c r="G74" s="338"/>
      <c r="H74" s="338"/>
      <c r="I74" s="338"/>
      <c r="K74" s="61"/>
      <c r="L74" s="61"/>
      <c r="Q74" s="61"/>
    </row>
    <row r="75" spans="3:17">
      <c r="C75" s="341">
        <v>14</v>
      </c>
      <c r="D75" s="342"/>
      <c r="E75" s="342">
        <v>8.7563269999999996E-7</v>
      </c>
      <c r="F75" s="342">
        <v>2.7329935000000001E-6</v>
      </c>
      <c r="G75" s="338"/>
      <c r="H75" s="338"/>
      <c r="I75" s="338"/>
    </row>
    <row r="76" spans="3:17">
      <c r="C76" s="341">
        <v>15</v>
      </c>
      <c r="D76" s="342"/>
      <c r="E76" s="342">
        <v>4.5160925000000002E-8</v>
      </c>
      <c r="F76" s="342">
        <v>1.8217203E-7</v>
      </c>
      <c r="G76" s="338"/>
      <c r="H76" s="338"/>
      <c r="I76" s="338"/>
    </row>
    <row r="77" spans="3:17">
      <c r="C77" s="341">
        <v>16</v>
      </c>
      <c r="D77" s="342"/>
      <c r="E77" s="342">
        <v>1.10987E-9</v>
      </c>
      <c r="F77" s="342">
        <v>6.1818745000000001E-9</v>
      </c>
      <c r="G77" s="338"/>
      <c r="H77" s="338"/>
      <c r="I77" s="338"/>
    </row>
  </sheetData>
  <mergeCells count="14">
    <mergeCell ref="B3:R3"/>
    <mergeCell ref="B4:E4"/>
    <mergeCell ref="H4:K4"/>
    <mergeCell ref="N4:Q4"/>
    <mergeCell ref="B6:E6"/>
    <mergeCell ref="H6:K6"/>
    <mergeCell ref="N6:Q6"/>
    <mergeCell ref="N30:Q30"/>
    <mergeCell ref="H24:K24"/>
    <mergeCell ref="N19:Q19"/>
    <mergeCell ref="N21:Q21"/>
    <mergeCell ref="B22:E22"/>
    <mergeCell ref="B24:E24"/>
    <mergeCell ref="B27:E27"/>
  </mergeCells>
  <dataValidations count="3">
    <dataValidation type="list" allowBlank="1" showInputMessage="1" showErrorMessage="1" sqref="C31:D31" xr:uid="{00000000-0002-0000-0600-000000000000}">
      <formula1>$C$52:$C$55</formula1>
    </dataValidation>
    <dataValidation type="list" allowBlank="1" showInputMessage="1" showErrorMessage="1" sqref="C34" xr:uid="{00000000-0002-0000-0600-000001000000}">
      <formula1>$E$52:$E$55</formula1>
    </dataValidation>
    <dataValidation type="list" allowBlank="1" showInputMessage="1" showErrorMessage="1" sqref="I35" xr:uid="{00000000-0002-0000-0600-000002000000}">
      <formula1>$N$49:$N$52</formula1>
    </dataValidation>
  </dataValidations>
  <pageMargins left="0.75" right="0.75" top="1" bottom="1" header="0.5" footer="0.5"/>
  <pageSetup paperSize="8"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4033" r:id="rId4" name="Drop Down 1">
              <controlPr defaultSize="0" autoLine="0" autoPict="0">
                <anchor moveWithCells="1">
                  <from>
                    <xdr:col>1</xdr:col>
                    <xdr:colOff>1630680</xdr:colOff>
                    <xdr:row>27</xdr:row>
                    <xdr:rowOff>19050</xdr:rowOff>
                  </from>
                  <to>
                    <xdr:col>4</xdr:col>
                    <xdr:colOff>323850</xdr:colOff>
                    <xdr:row>27</xdr:row>
                    <xdr:rowOff>163830</xdr:rowOff>
                  </to>
                </anchor>
              </controlPr>
            </control>
          </mc:Choice>
        </mc:AlternateContent>
        <mc:AlternateContent xmlns:mc="http://schemas.openxmlformats.org/markup-compatibility/2006">
          <mc:Choice Requires="x14">
            <control shapeId="44086" r:id="rId5" name="Button 54">
              <controlPr defaultSize="0" print="0" autoFill="0" autoPict="0" macro="[0]!Range_Margin_Interlink">
                <anchor moveWithCells="1" sizeWithCells="1">
                  <from>
                    <xdr:col>7</xdr:col>
                    <xdr:colOff>1676400</xdr:colOff>
                    <xdr:row>24</xdr:row>
                    <xdr:rowOff>11430</xdr:rowOff>
                  </from>
                  <to>
                    <xdr:col>8</xdr:col>
                    <xdr:colOff>1268730</xdr:colOff>
                    <xdr:row>25</xdr:row>
                    <xdr:rowOff>11430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3000000}">
          <x14:formula1>
            <xm:f>Constants!$K$30:$K$39</xm:f>
          </x14:formula1>
          <xm:sqref>I5</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tabColor rgb="FF538DD5"/>
  </sheetPr>
  <dimension ref="A1:M12"/>
  <sheetViews>
    <sheetView showGridLines="0" workbookViewId="0">
      <selection activeCell="D14" sqref="D14"/>
    </sheetView>
  </sheetViews>
  <sheetFormatPr defaultColWidth="10.17578125" defaultRowHeight="15"/>
  <cols>
    <col min="1" max="1" width="10.17578125" style="401"/>
    <col min="2" max="2" width="20.29296875" style="401" bestFit="1" customWidth="1"/>
    <col min="3" max="3" width="46.29296875" style="401" customWidth="1"/>
    <col min="4" max="4" width="13.703125" style="401" customWidth="1"/>
    <col min="5" max="5" width="20" style="401" bestFit="1" customWidth="1"/>
    <col min="6" max="6" width="53.17578125" style="401" customWidth="1"/>
    <col min="7" max="7" width="10.17578125" style="401"/>
    <col min="8" max="16384" width="10.17578125" style="399"/>
  </cols>
  <sheetData>
    <row r="1" spans="2:13" ht="30" customHeight="1">
      <c r="B1" s="585" t="s">
        <v>379</v>
      </c>
      <c r="C1" s="586"/>
      <c r="D1" s="586"/>
      <c r="E1" s="586"/>
      <c r="F1" s="587"/>
      <c r="G1" s="397"/>
      <c r="H1" s="398"/>
      <c r="I1" s="398"/>
      <c r="J1" s="398"/>
      <c r="K1" s="398"/>
      <c r="L1" s="398"/>
      <c r="M1" s="398"/>
    </row>
    <row r="3" spans="2:13">
      <c r="B3" s="400" t="s">
        <v>380</v>
      </c>
      <c r="C3" s="400"/>
      <c r="E3" s="400" t="s">
        <v>389</v>
      </c>
      <c r="F3" s="400"/>
    </row>
    <row r="4" spans="2:13">
      <c r="B4" s="402" t="s">
        <v>381</v>
      </c>
      <c r="C4" s="402" t="s">
        <v>382</v>
      </c>
      <c r="E4" s="402" t="s">
        <v>383</v>
      </c>
      <c r="F4" s="402" t="s">
        <v>382</v>
      </c>
    </row>
    <row r="5" spans="2:13">
      <c r="B5" s="401" t="s">
        <v>384</v>
      </c>
      <c r="E5" s="401" t="s">
        <v>390</v>
      </c>
    </row>
    <row r="6" spans="2:13">
      <c r="B6" s="401" t="s">
        <v>385</v>
      </c>
      <c r="E6" s="401" t="s">
        <v>391</v>
      </c>
    </row>
    <row r="7" spans="2:13">
      <c r="B7" s="401" t="s">
        <v>386</v>
      </c>
      <c r="E7" s="401" t="s">
        <v>392</v>
      </c>
    </row>
    <row r="8" spans="2:13">
      <c r="B8" s="401" t="s">
        <v>387</v>
      </c>
      <c r="E8" s="401" t="s">
        <v>393</v>
      </c>
    </row>
    <row r="9" spans="2:13">
      <c r="B9" s="401" t="s">
        <v>388</v>
      </c>
    </row>
    <row r="12" spans="2:13">
      <c r="B12" s="403"/>
      <c r="C12" s="403"/>
    </row>
  </sheetData>
  <mergeCells count="1">
    <mergeCell ref="B1:F1"/>
  </mergeCells>
  <pageMargins left="0.7" right="0.7" top="0.75" bottom="0.75" header="0.3" footer="0.3"/>
  <pageSetup paperSize="9" orientation="portrait"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tabColor rgb="FF538DD5"/>
  </sheetPr>
  <dimension ref="A1:AT163"/>
  <sheetViews>
    <sheetView showGridLines="0" zoomScale="85" zoomScaleNormal="85" workbookViewId="0">
      <selection activeCell="G19" sqref="G19"/>
    </sheetView>
  </sheetViews>
  <sheetFormatPr defaultRowHeight="12.6"/>
  <cols>
    <col min="5" max="5" width="25.17578125" bestFit="1" customWidth="1"/>
    <col min="6" max="6" width="21.17578125" bestFit="1" customWidth="1"/>
    <col min="7" max="7" width="22.46875" bestFit="1" customWidth="1"/>
    <col min="8" max="8" width="24.17578125" bestFit="1" customWidth="1"/>
    <col min="9" max="9" width="23.703125" bestFit="1" customWidth="1"/>
    <col min="10" max="10" width="22.17578125" bestFit="1" customWidth="1"/>
    <col min="11" max="11" width="21.8203125" bestFit="1" customWidth="1"/>
    <col min="12" max="12" width="19.17578125" bestFit="1" customWidth="1"/>
    <col min="13" max="13" width="28.8203125" bestFit="1" customWidth="1"/>
    <col min="14" max="14" width="29" bestFit="1" customWidth="1"/>
    <col min="15" max="15" width="31.29296875" bestFit="1" customWidth="1"/>
    <col min="16" max="16" width="30.46875" bestFit="1" customWidth="1"/>
    <col min="17" max="17" width="29.29296875" bestFit="1" customWidth="1"/>
  </cols>
  <sheetData>
    <row r="1" spans="5:46" ht="17.399999999999999">
      <c r="X1" s="353"/>
      <c r="Y1" s="353"/>
      <c r="Z1" s="353"/>
      <c r="AA1" s="353"/>
      <c r="AB1" s="353"/>
      <c r="AC1" s="353"/>
      <c r="AD1" s="353"/>
      <c r="AE1" s="353"/>
      <c r="AF1" s="353"/>
      <c r="AG1" s="353"/>
      <c r="AH1" s="353"/>
      <c r="AI1" s="353"/>
      <c r="AJ1" s="353"/>
      <c r="AK1" s="353"/>
      <c r="AL1" s="353"/>
      <c r="AM1" s="353"/>
      <c r="AN1" s="353"/>
      <c r="AO1" s="353"/>
      <c r="AP1" s="353"/>
      <c r="AQ1" s="353"/>
      <c r="AR1" s="353"/>
      <c r="AS1" s="353"/>
      <c r="AT1" s="353"/>
    </row>
    <row r="2" spans="5:46" ht="17.399999999999999">
      <c r="X2" s="353"/>
      <c r="Y2" s="353"/>
      <c r="Z2" s="353"/>
      <c r="AA2" s="353"/>
      <c r="AB2" s="353"/>
      <c r="AC2" s="353"/>
      <c r="AD2" s="353"/>
      <c r="AE2" s="353"/>
      <c r="AF2" s="353"/>
      <c r="AG2" s="353"/>
      <c r="AH2" s="353"/>
      <c r="AI2" s="353"/>
      <c r="AJ2" s="353"/>
      <c r="AK2" s="353"/>
      <c r="AL2" s="353"/>
      <c r="AM2" s="353"/>
      <c r="AN2" s="353"/>
      <c r="AO2" s="353"/>
      <c r="AP2" s="353"/>
      <c r="AQ2" s="353"/>
      <c r="AR2" s="353"/>
      <c r="AS2" s="353"/>
      <c r="AT2" s="353"/>
    </row>
    <row r="3" spans="5:46" ht="17.399999999999999">
      <c r="X3" s="353"/>
      <c r="Y3" s="353"/>
      <c r="Z3" s="353"/>
      <c r="AA3" s="353"/>
      <c r="AB3" s="353"/>
      <c r="AC3" s="353"/>
      <c r="AD3" s="353"/>
      <c r="AE3" s="353"/>
      <c r="AF3" s="353"/>
      <c r="AG3" s="353"/>
      <c r="AH3" s="353"/>
      <c r="AI3" s="353"/>
      <c r="AJ3" s="353"/>
      <c r="AK3" s="353"/>
      <c r="AL3" s="353"/>
      <c r="AM3" s="353"/>
      <c r="AN3" s="353"/>
      <c r="AO3" s="353"/>
      <c r="AP3" s="353"/>
      <c r="AQ3" s="353"/>
      <c r="AR3" s="353"/>
      <c r="AS3" s="353"/>
      <c r="AT3" s="353"/>
    </row>
    <row r="4" spans="5:46" ht="17.399999999999999">
      <c r="X4" s="353"/>
      <c r="Y4" s="353"/>
      <c r="Z4" s="353"/>
      <c r="AA4" s="353"/>
      <c r="AB4" s="353"/>
      <c r="AC4" s="353"/>
      <c r="AD4" s="353"/>
      <c r="AE4" s="353"/>
      <c r="AF4" s="353"/>
      <c r="AG4" s="353"/>
      <c r="AH4" s="353"/>
      <c r="AI4" s="353"/>
      <c r="AJ4" s="353"/>
      <c r="AK4" s="353"/>
      <c r="AL4" s="353"/>
      <c r="AM4" s="353"/>
      <c r="AN4" s="353"/>
      <c r="AO4" s="353"/>
      <c r="AP4" s="353"/>
      <c r="AQ4" s="353"/>
      <c r="AR4" s="353"/>
      <c r="AS4" s="353"/>
      <c r="AT4" s="353"/>
    </row>
    <row r="5" spans="5:46" ht="17.399999999999999">
      <c r="X5" s="353"/>
      <c r="Y5" s="353"/>
      <c r="Z5" s="353"/>
      <c r="AA5" s="353"/>
      <c r="AB5" s="353"/>
      <c r="AC5" s="353"/>
      <c r="AD5" s="353"/>
      <c r="AE5" s="353"/>
      <c r="AF5" s="353"/>
      <c r="AG5" s="353"/>
      <c r="AH5" s="353"/>
      <c r="AI5" s="353"/>
      <c r="AJ5" s="353"/>
      <c r="AK5" s="353"/>
      <c r="AL5" s="353"/>
      <c r="AM5" s="353"/>
      <c r="AN5" s="353"/>
      <c r="AO5" s="353"/>
      <c r="AP5" s="353"/>
      <c r="AQ5" s="353"/>
      <c r="AR5" s="353"/>
      <c r="AS5" s="353"/>
      <c r="AT5" s="353"/>
    </row>
    <row r="6" spans="5:46" ht="17.399999999999999">
      <c r="X6" s="353"/>
      <c r="Y6" s="353"/>
      <c r="Z6" s="353"/>
      <c r="AA6" s="353"/>
      <c r="AB6" s="353"/>
      <c r="AC6" s="353"/>
      <c r="AD6" s="353"/>
      <c r="AE6" s="353"/>
      <c r="AF6" s="353"/>
      <c r="AG6" s="353"/>
      <c r="AH6" s="353"/>
      <c r="AI6" s="353"/>
      <c r="AJ6" s="353"/>
      <c r="AK6" s="353"/>
      <c r="AL6" s="353"/>
      <c r="AM6" s="353"/>
      <c r="AN6" s="353"/>
      <c r="AO6" s="353"/>
      <c r="AP6" s="353"/>
      <c r="AQ6" s="353"/>
      <c r="AR6" s="353"/>
      <c r="AS6" s="353"/>
      <c r="AT6" s="353"/>
    </row>
    <row r="7" spans="5:46" ht="17.7" thickBot="1">
      <c r="X7" s="353"/>
      <c r="Y7" s="353"/>
      <c r="Z7" s="353"/>
      <c r="AA7" s="353"/>
      <c r="AB7" s="353"/>
      <c r="AC7" s="353"/>
      <c r="AD7" s="353"/>
      <c r="AE7" s="353"/>
      <c r="AF7" s="353"/>
      <c r="AG7" s="353"/>
      <c r="AH7" s="353"/>
      <c r="AI7" s="353"/>
      <c r="AJ7" s="353"/>
      <c r="AK7" s="353"/>
      <c r="AL7" s="353"/>
      <c r="AM7" s="353"/>
      <c r="AN7" s="353"/>
      <c r="AO7" s="353"/>
      <c r="AP7" s="353"/>
      <c r="AQ7" s="353"/>
      <c r="AR7" s="353"/>
      <c r="AS7" s="353"/>
      <c r="AT7" s="353"/>
    </row>
    <row r="8" spans="5:46" ht="18" thickTop="1" thickBot="1">
      <c r="E8" s="354" t="s">
        <v>312</v>
      </c>
      <c r="F8" s="355" t="s">
        <v>313</v>
      </c>
      <c r="G8" s="355" t="s">
        <v>314</v>
      </c>
      <c r="H8" s="355" t="s">
        <v>315</v>
      </c>
      <c r="I8" s="355" t="s">
        <v>316</v>
      </c>
      <c r="J8" s="355" t="s">
        <v>317</v>
      </c>
      <c r="K8" s="355" t="s">
        <v>318</v>
      </c>
      <c r="L8" s="355" t="s">
        <v>319</v>
      </c>
      <c r="M8" s="355" t="s">
        <v>320</v>
      </c>
      <c r="N8" s="355" t="s">
        <v>321</v>
      </c>
      <c r="O8" s="355" t="s">
        <v>322</v>
      </c>
      <c r="P8" s="355" t="s">
        <v>323</v>
      </c>
      <c r="Q8" s="356" t="s">
        <v>324</v>
      </c>
      <c r="X8" s="353"/>
      <c r="Y8" s="353"/>
      <c r="Z8" s="353"/>
      <c r="AA8" s="353"/>
      <c r="AB8" s="353"/>
      <c r="AC8" s="353"/>
      <c r="AD8" s="353"/>
      <c r="AE8" s="353"/>
      <c r="AF8" s="353"/>
      <c r="AG8" s="353"/>
      <c r="AH8" s="353"/>
      <c r="AI8" s="353"/>
      <c r="AJ8" s="353"/>
      <c r="AK8" s="353"/>
      <c r="AL8" s="353"/>
      <c r="AM8" s="353"/>
      <c r="AN8" s="353"/>
      <c r="AO8" s="353"/>
      <c r="AP8" s="353"/>
      <c r="AQ8" s="353"/>
      <c r="AR8" s="353"/>
      <c r="AS8" s="353"/>
      <c r="AT8" s="353"/>
    </row>
    <row r="9" spans="5:46" ht="17.399999999999999">
      <c r="E9" s="357" t="s">
        <v>325</v>
      </c>
      <c r="F9" s="358" t="s">
        <v>326</v>
      </c>
      <c r="G9" s="359">
        <v>-30.952999999999999</v>
      </c>
      <c r="H9" s="359">
        <v>116.191</v>
      </c>
      <c r="I9" s="358" t="s">
        <v>327</v>
      </c>
      <c r="J9" s="358" t="s">
        <v>327</v>
      </c>
      <c r="K9" s="359">
        <v>35</v>
      </c>
      <c r="L9" s="360">
        <v>0.6</v>
      </c>
      <c r="M9" s="358">
        <v>55.52</v>
      </c>
      <c r="N9" s="359">
        <v>56.31</v>
      </c>
      <c r="O9" s="361">
        <v>40</v>
      </c>
      <c r="P9" s="360">
        <v>50</v>
      </c>
      <c r="Q9" s="362">
        <v>1</v>
      </c>
      <c r="X9" s="353"/>
      <c r="Y9" s="353"/>
      <c r="Z9" s="353"/>
      <c r="AA9" s="353"/>
      <c r="AB9" s="353"/>
      <c r="AC9" s="353"/>
      <c r="AD9" s="353"/>
      <c r="AE9" s="353"/>
      <c r="AF9" s="353"/>
      <c r="AG9" s="353"/>
      <c r="AH9" s="353"/>
      <c r="AI9" s="353"/>
      <c r="AJ9" s="353"/>
      <c r="AK9" s="353"/>
      <c r="AL9" s="353"/>
      <c r="AM9" s="353"/>
      <c r="AN9" s="353"/>
      <c r="AO9" s="353"/>
      <c r="AP9" s="353"/>
      <c r="AQ9" s="353"/>
      <c r="AR9" s="353"/>
      <c r="AS9" s="353"/>
      <c r="AT9" s="353"/>
    </row>
    <row r="10" spans="5:46" ht="17.399999999999999">
      <c r="E10" s="357" t="s">
        <v>325</v>
      </c>
      <c r="F10" s="358" t="s">
        <v>326</v>
      </c>
      <c r="G10" s="359">
        <v>-30.952999999999999</v>
      </c>
      <c r="H10" s="359">
        <v>116.191</v>
      </c>
      <c r="I10" s="358" t="s">
        <v>327</v>
      </c>
      <c r="J10" s="358" t="s">
        <v>328</v>
      </c>
      <c r="K10" s="359">
        <v>35</v>
      </c>
      <c r="L10" s="360">
        <v>0.6</v>
      </c>
      <c r="M10" s="358">
        <v>55.52</v>
      </c>
      <c r="N10" s="359">
        <v>67.56</v>
      </c>
      <c r="O10" s="361">
        <v>40</v>
      </c>
      <c r="P10" s="360">
        <v>50</v>
      </c>
      <c r="Q10" s="362">
        <v>1</v>
      </c>
      <c r="X10" s="353"/>
      <c r="Y10" s="353"/>
      <c r="Z10" s="353"/>
      <c r="AA10" s="353"/>
      <c r="AB10" s="353"/>
      <c r="AC10" s="353"/>
      <c r="AD10" s="353"/>
      <c r="AE10" s="353"/>
      <c r="AF10" s="353"/>
      <c r="AG10" s="353"/>
      <c r="AH10" s="353"/>
      <c r="AI10" s="353"/>
      <c r="AJ10" s="353"/>
      <c r="AK10" s="353"/>
      <c r="AL10" s="353"/>
      <c r="AM10" s="353"/>
      <c r="AN10" s="353"/>
      <c r="AO10" s="353"/>
      <c r="AP10" s="353"/>
      <c r="AQ10" s="353"/>
      <c r="AR10" s="353"/>
      <c r="AS10" s="353"/>
      <c r="AT10" s="353"/>
    </row>
    <row r="11" spans="5:46" ht="17.399999999999999">
      <c r="E11" s="357" t="s">
        <v>325</v>
      </c>
      <c r="F11" s="358" t="s">
        <v>326</v>
      </c>
      <c r="G11" s="359">
        <v>-30.952999999999999</v>
      </c>
      <c r="H11" s="359">
        <v>116.191</v>
      </c>
      <c r="I11" s="358" t="s">
        <v>328</v>
      </c>
      <c r="J11" s="358" t="s">
        <v>327</v>
      </c>
      <c r="K11" s="359">
        <v>35</v>
      </c>
      <c r="L11" s="360">
        <v>0.6</v>
      </c>
      <c r="M11" s="358">
        <v>66.099999999999994</v>
      </c>
      <c r="N11" s="359">
        <v>56.31</v>
      </c>
      <c r="O11" s="361">
        <v>40</v>
      </c>
      <c r="P11" s="360">
        <v>50</v>
      </c>
      <c r="Q11" s="362">
        <v>1</v>
      </c>
      <c r="X11" s="353"/>
      <c r="Y11" s="353"/>
      <c r="Z11" s="353"/>
      <c r="AA11" s="353"/>
      <c r="AB11" s="353"/>
      <c r="AC11" s="353"/>
      <c r="AD11" s="353"/>
      <c r="AE11" s="353"/>
      <c r="AF11" s="353"/>
      <c r="AG11" s="353"/>
      <c r="AH11" s="353"/>
      <c r="AI11" s="353"/>
      <c r="AJ11" s="353"/>
      <c r="AK11" s="353"/>
      <c r="AL11" s="353"/>
      <c r="AM11" s="353"/>
      <c r="AN11" s="353"/>
      <c r="AO11" s="353"/>
      <c r="AP11" s="353"/>
      <c r="AQ11" s="353"/>
      <c r="AR11" s="353"/>
      <c r="AS11" s="353"/>
      <c r="AT11" s="353"/>
    </row>
    <row r="12" spans="5:46" ht="17.399999999999999">
      <c r="E12" s="357" t="s">
        <v>325</v>
      </c>
      <c r="F12" s="358" t="s">
        <v>326</v>
      </c>
      <c r="G12" s="359">
        <v>-30.952999999999999</v>
      </c>
      <c r="H12" s="359">
        <v>116.191</v>
      </c>
      <c r="I12" s="358" t="s">
        <v>328</v>
      </c>
      <c r="J12" s="358" t="s">
        <v>328</v>
      </c>
      <c r="K12" s="359">
        <v>35</v>
      </c>
      <c r="L12" s="360">
        <v>0.6</v>
      </c>
      <c r="M12" s="358">
        <v>66.099999999999994</v>
      </c>
      <c r="N12" s="359">
        <v>67.56</v>
      </c>
      <c r="O12" s="360">
        <v>40</v>
      </c>
      <c r="P12" s="360">
        <v>50</v>
      </c>
      <c r="Q12" s="362">
        <v>1</v>
      </c>
      <c r="X12" s="353"/>
      <c r="Y12" s="353"/>
      <c r="Z12" s="353"/>
      <c r="AA12" s="353"/>
      <c r="AB12" s="353"/>
      <c r="AC12" s="353"/>
      <c r="AD12" s="353"/>
      <c r="AE12" s="353"/>
      <c r="AF12" s="353"/>
      <c r="AG12" s="353"/>
      <c r="AH12" s="353"/>
      <c r="AI12" s="353"/>
      <c r="AJ12" s="353"/>
      <c r="AK12" s="353"/>
      <c r="AL12" s="353"/>
      <c r="AM12" s="353"/>
      <c r="AN12" s="353"/>
      <c r="AO12" s="353"/>
      <c r="AP12" s="353"/>
      <c r="AQ12" s="353"/>
      <c r="AR12" s="353"/>
      <c r="AS12" s="353"/>
      <c r="AT12" s="353"/>
    </row>
    <row r="13" spans="5:46" ht="17.399999999999999">
      <c r="E13" s="357" t="s">
        <v>325</v>
      </c>
      <c r="F13" s="358" t="s">
        <v>326</v>
      </c>
      <c r="G13" s="359">
        <v>-30.952999999999999</v>
      </c>
      <c r="H13" s="359">
        <v>116.191</v>
      </c>
      <c r="I13" s="358" t="s">
        <v>327</v>
      </c>
      <c r="J13" s="358" t="s">
        <v>329</v>
      </c>
      <c r="K13" s="359">
        <v>35</v>
      </c>
      <c r="L13" s="360">
        <v>0.6</v>
      </c>
      <c r="M13" s="358">
        <v>55.52</v>
      </c>
      <c r="N13" s="359">
        <v>79.180000000000007</v>
      </c>
      <c r="O13" s="361">
        <v>40</v>
      </c>
      <c r="P13" s="360">
        <v>50</v>
      </c>
      <c r="Q13" s="362">
        <v>1</v>
      </c>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row>
    <row r="14" spans="5:46" ht="17.399999999999999">
      <c r="E14" s="357" t="s">
        <v>325</v>
      </c>
      <c r="F14" s="358" t="s">
        <v>326</v>
      </c>
      <c r="G14" s="359">
        <v>-30.952999999999999</v>
      </c>
      <c r="H14" s="359">
        <v>116.191</v>
      </c>
      <c r="I14" s="358" t="s">
        <v>328</v>
      </c>
      <c r="J14" s="358" t="s">
        <v>329</v>
      </c>
      <c r="K14" s="359">
        <v>35</v>
      </c>
      <c r="L14" s="360">
        <v>0.6</v>
      </c>
      <c r="M14" s="358">
        <v>66.099999999999994</v>
      </c>
      <c r="N14" s="359">
        <v>79.180000000000007</v>
      </c>
      <c r="O14" s="361">
        <v>40</v>
      </c>
      <c r="P14" s="360">
        <v>50</v>
      </c>
      <c r="Q14" s="362">
        <v>1</v>
      </c>
      <c r="X14" s="353"/>
      <c r="Y14" s="353"/>
      <c r="Z14" s="353"/>
      <c r="AA14" s="353"/>
      <c r="AB14" s="353"/>
      <c r="AC14" s="353"/>
      <c r="AD14" s="353"/>
      <c r="AE14" s="353"/>
      <c r="AF14" s="353"/>
      <c r="AG14" s="353"/>
      <c r="AH14" s="353"/>
      <c r="AI14" s="353"/>
      <c r="AJ14" s="353"/>
      <c r="AK14" s="353"/>
      <c r="AL14" s="353"/>
      <c r="AM14" s="353"/>
      <c r="AN14" s="353"/>
      <c r="AO14" s="353"/>
      <c r="AP14" s="353"/>
      <c r="AQ14" s="353"/>
      <c r="AR14" s="353"/>
      <c r="AS14" s="353"/>
      <c r="AT14" s="353"/>
    </row>
    <row r="15" spans="5:46" ht="17.399999999999999">
      <c r="E15" s="357" t="s">
        <v>330</v>
      </c>
      <c r="F15" s="358" t="s">
        <v>331</v>
      </c>
      <c r="G15" s="359">
        <v>-35.475000000000001</v>
      </c>
      <c r="H15" s="359">
        <v>-69.583299999999994</v>
      </c>
      <c r="I15" s="358" t="s">
        <v>328</v>
      </c>
      <c r="J15" s="358" t="s">
        <v>328</v>
      </c>
      <c r="K15" s="359">
        <v>35</v>
      </c>
      <c r="L15" s="360">
        <v>0.6</v>
      </c>
      <c r="M15" s="358">
        <v>66.099999999999994</v>
      </c>
      <c r="N15" s="359">
        <v>67.56</v>
      </c>
      <c r="O15" s="361">
        <v>40</v>
      </c>
      <c r="P15" s="360">
        <v>50</v>
      </c>
      <c r="Q15" s="362">
        <v>1</v>
      </c>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row>
    <row r="16" spans="5:46" ht="17.399999999999999">
      <c r="E16" s="357" t="s">
        <v>330</v>
      </c>
      <c r="F16" s="358" t="s">
        <v>331</v>
      </c>
      <c r="G16" s="359">
        <v>-35.475000000000001</v>
      </c>
      <c r="H16" s="359">
        <v>-69.583299999999994</v>
      </c>
      <c r="I16" s="358" t="s">
        <v>328</v>
      </c>
      <c r="J16" s="358" t="s">
        <v>329</v>
      </c>
      <c r="K16" s="359">
        <v>35</v>
      </c>
      <c r="L16" s="360">
        <v>0.6</v>
      </c>
      <c r="M16" s="358">
        <v>66.099999999999994</v>
      </c>
      <c r="N16" s="359">
        <v>79.180000000000007</v>
      </c>
      <c r="O16" s="361">
        <v>40</v>
      </c>
      <c r="P16" s="360">
        <v>50</v>
      </c>
      <c r="Q16" s="362">
        <v>1</v>
      </c>
      <c r="X16" s="353"/>
      <c r="Y16" s="353"/>
      <c r="Z16" s="353"/>
      <c r="AA16" s="353"/>
      <c r="AB16" s="353"/>
      <c r="AC16" s="353"/>
      <c r="AD16" s="353"/>
      <c r="AE16" s="353"/>
      <c r="AF16" s="353"/>
      <c r="AG16" s="353"/>
      <c r="AH16" s="353"/>
      <c r="AI16" s="353"/>
      <c r="AJ16" s="353"/>
      <c r="AK16" s="353"/>
      <c r="AL16" s="353"/>
      <c r="AM16" s="353"/>
      <c r="AN16" s="353"/>
      <c r="AO16" s="353"/>
      <c r="AP16" s="353"/>
      <c r="AQ16" s="353"/>
      <c r="AR16" s="353"/>
      <c r="AS16" s="353"/>
      <c r="AT16" s="353"/>
    </row>
    <row r="17" spans="5:46" ht="17.399999999999999">
      <c r="E17" s="357" t="s">
        <v>330</v>
      </c>
      <c r="F17" s="358" t="s">
        <v>331</v>
      </c>
      <c r="G17" s="359">
        <v>-35.475000000000001</v>
      </c>
      <c r="H17" s="359">
        <v>-69.583299999999994</v>
      </c>
      <c r="I17" s="358" t="s">
        <v>329</v>
      </c>
      <c r="J17" s="358" t="s">
        <v>328</v>
      </c>
      <c r="K17" s="359">
        <v>35</v>
      </c>
      <c r="L17" s="360">
        <v>0.6</v>
      </c>
      <c r="M17" s="358">
        <v>79.180000000000007</v>
      </c>
      <c r="N17" s="359">
        <v>67.56</v>
      </c>
      <c r="O17" s="361">
        <v>40</v>
      </c>
      <c r="P17" s="360">
        <v>50</v>
      </c>
      <c r="Q17" s="362">
        <v>1</v>
      </c>
      <c r="X17" s="353"/>
      <c r="Y17" s="353"/>
      <c r="Z17" s="353"/>
      <c r="AA17" s="353"/>
      <c r="AB17" s="353"/>
      <c r="AC17" s="353"/>
      <c r="AD17" s="353"/>
      <c r="AE17" s="353"/>
      <c r="AF17" s="353"/>
      <c r="AG17" s="353"/>
      <c r="AH17" s="353"/>
      <c r="AI17" s="353"/>
      <c r="AJ17" s="353"/>
      <c r="AK17" s="353"/>
      <c r="AL17" s="353"/>
      <c r="AM17" s="353"/>
      <c r="AN17" s="353"/>
      <c r="AO17" s="353"/>
      <c r="AP17" s="353"/>
      <c r="AQ17" s="353"/>
      <c r="AR17" s="353"/>
      <c r="AS17" s="353"/>
      <c r="AT17" s="353"/>
    </row>
    <row r="18" spans="5:46" ht="17.399999999999999">
      <c r="E18" s="357" t="s">
        <v>330</v>
      </c>
      <c r="F18" s="358" t="s">
        <v>331</v>
      </c>
      <c r="G18" s="359">
        <v>-35.475000000000001</v>
      </c>
      <c r="H18" s="359">
        <v>-69.583299999999994</v>
      </c>
      <c r="I18" s="358" t="s">
        <v>329</v>
      </c>
      <c r="J18" s="358" t="s">
        <v>329</v>
      </c>
      <c r="K18" s="359">
        <v>35</v>
      </c>
      <c r="L18" s="360">
        <v>0.6</v>
      </c>
      <c r="M18" s="358">
        <v>79.180000000000007</v>
      </c>
      <c r="N18" s="359">
        <v>79.180000000000007</v>
      </c>
      <c r="O18" s="361">
        <v>40</v>
      </c>
      <c r="P18" s="360">
        <v>50</v>
      </c>
      <c r="Q18" s="362">
        <v>1</v>
      </c>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row>
    <row r="19" spans="5:46" ht="17.399999999999999">
      <c r="E19" s="357" t="s">
        <v>332</v>
      </c>
      <c r="F19" s="358" t="s">
        <v>333</v>
      </c>
      <c r="G19" s="359">
        <v>40.450000000000003</v>
      </c>
      <c r="H19" s="359">
        <v>-4.4667000000000003</v>
      </c>
      <c r="I19" s="358" t="s">
        <v>328</v>
      </c>
      <c r="J19" s="358" t="s">
        <v>328</v>
      </c>
      <c r="K19" s="359">
        <v>35</v>
      </c>
      <c r="L19" s="360">
        <v>0.6</v>
      </c>
      <c r="M19" s="358">
        <v>66.099999999999994</v>
      </c>
      <c r="N19" s="359">
        <v>67.56</v>
      </c>
      <c r="O19" s="361">
        <v>40</v>
      </c>
      <c r="P19" s="360">
        <v>50</v>
      </c>
      <c r="Q19" s="362">
        <v>1</v>
      </c>
      <c r="X19" s="353"/>
      <c r="Y19" s="353"/>
      <c r="Z19" s="353"/>
      <c r="AA19" s="353"/>
      <c r="AB19" s="353"/>
      <c r="AC19" s="353"/>
      <c r="AD19" s="353"/>
      <c r="AE19" s="353"/>
      <c r="AF19" s="353"/>
      <c r="AG19" s="353"/>
      <c r="AH19" s="353"/>
      <c r="AI19" s="353"/>
      <c r="AJ19" s="353"/>
      <c r="AK19" s="353"/>
      <c r="AL19" s="353"/>
      <c r="AM19" s="353"/>
      <c r="AN19" s="353"/>
      <c r="AO19" s="353"/>
      <c r="AP19" s="353"/>
      <c r="AQ19" s="353"/>
      <c r="AR19" s="353"/>
      <c r="AS19" s="353"/>
      <c r="AT19" s="353"/>
    </row>
    <row r="20" spans="5:46" ht="17.399999999999999">
      <c r="E20" s="357" t="s">
        <v>332</v>
      </c>
      <c r="F20" s="358" t="s">
        <v>333</v>
      </c>
      <c r="G20" s="359">
        <v>40.450000000000003</v>
      </c>
      <c r="H20" s="359">
        <v>-4.4667000000000003</v>
      </c>
      <c r="I20" s="358" t="s">
        <v>328</v>
      </c>
      <c r="J20" s="358" t="s">
        <v>329</v>
      </c>
      <c r="K20" s="359">
        <v>35</v>
      </c>
      <c r="L20" s="360">
        <v>0.6</v>
      </c>
      <c r="M20" s="358">
        <v>66.099999999999994</v>
      </c>
      <c r="N20" s="359">
        <v>79.180000000000007</v>
      </c>
      <c r="O20" s="361">
        <v>40</v>
      </c>
      <c r="P20" s="360">
        <v>50</v>
      </c>
      <c r="Q20" s="362">
        <v>1</v>
      </c>
      <c r="X20" s="353"/>
      <c r="Y20" s="353"/>
      <c r="Z20" s="353"/>
      <c r="AA20" s="353"/>
      <c r="AB20" s="353"/>
      <c r="AC20" s="353"/>
      <c r="AD20" s="353"/>
      <c r="AE20" s="353"/>
      <c r="AF20" s="353"/>
      <c r="AG20" s="353"/>
      <c r="AH20" s="353"/>
      <c r="AI20" s="353"/>
      <c r="AJ20" s="353"/>
      <c r="AK20" s="353"/>
      <c r="AL20" s="353"/>
      <c r="AM20" s="353"/>
      <c r="AN20" s="353"/>
      <c r="AO20" s="353"/>
      <c r="AP20" s="353"/>
      <c r="AQ20" s="353"/>
      <c r="AR20" s="353"/>
      <c r="AS20" s="353"/>
      <c r="AT20" s="353"/>
    </row>
    <row r="21" spans="5:46" ht="17.399999999999999">
      <c r="E21" s="357" t="s">
        <v>332</v>
      </c>
      <c r="F21" s="358" t="s">
        <v>333</v>
      </c>
      <c r="G21" s="359">
        <v>40.450000000000003</v>
      </c>
      <c r="H21" s="359">
        <v>-4.4667000000000003</v>
      </c>
      <c r="I21" s="358" t="s">
        <v>329</v>
      </c>
      <c r="J21" s="358" t="s">
        <v>329</v>
      </c>
      <c r="K21" s="359">
        <v>35</v>
      </c>
      <c r="L21" s="360">
        <v>0.6</v>
      </c>
      <c r="M21" s="358">
        <v>79.180000000000007</v>
      </c>
      <c r="N21" s="359">
        <v>79.180000000000007</v>
      </c>
      <c r="O21" s="361">
        <v>40</v>
      </c>
      <c r="P21" s="360">
        <v>50</v>
      </c>
      <c r="Q21" s="362">
        <v>1</v>
      </c>
      <c r="X21" s="353"/>
      <c r="Y21" s="353"/>
      <c r="Z21" s="353"/>
      <c r="AA21" s="353"/>
      <c r="AB21" s="353"/>
      <c r="AC21" s="353"/>
      <c r="AD21" s="353"/>
      <c r="AE21" s="353"/>
      <c r="AF21" s="353"/>
      <c r="AG21" s="353"/>
      <c r="AH21" s="353"/>
      <c r="AI21" s="353"/>
      <c r="AJ21" s="353"/>
      <c r="AK21" s="353"/>
      <c r="AL21" s="353"/>
      <c r="AM21" s="353"/>
      <c r="AN21" s="353"/>
      <c r="AO21" s="353"/>
      <c r="AP21" s="353"/>
      <c r="AQ21" s="353"/>
      <c r="AR21" s="353"/>
      <c r="AS21" s="353"/>
      <c r="AT21" s="353"/>
    </row>
    <row r="22" spans="5:46" ht="17.399999999999999">
      <c r="E22" s="357" t="s">
        <v>332</v>
      </c>
      <c r="F22" s="358" t="s">
        <v>333</v>
      </c>
      <c r="G22" s="359">
        <v>40.450000000000003</v>
      </c>
      <c r="H22" s="359">
        <v>-4.4667000000000003</v>
      </c>
      <c r="I22" s="358" t="s">
        <v>329</v>
      </c>
      <c r="J22" s="358" t="s">
        <v>328</v>
      </c>
      <c r="K22" s="359">
        <v>35</v>
      </c>
      <c r="L22" s="360">
        <v>0.6</v>
      </c>
      <c r="M22" s="358">
        <v>79.180000000000007</v>
      </c>
      <c r="N22" s="359">
        <v>67.56</v>
      </c>
      <c r="O22" s="361">
        <v>40</v>
      </c>
      <c r="P22" s="360">
        <v>50</v>
      </c>
      <c r="Q22" s="362">
        <v>1</v>
      </c>
      <c r="X22" s="353"/>
      <c r="Y22" s="353"/>
      <c r="Z22" s="353"/>
      <c r="AA22" s="353"/>
      <c r="AB22" s="353"/>
      <c r="AC22" s="353"/>
      <c r="AD22" s="353"/>
      <c r="AE22" s="353"/>
      <c r="AF22" s="353"/>
      <c r="AG22" s="353"/>
      <c r="AH22" s="353"/>
      <c r="AI22" s="353"/>
      <c r="AJ22" s="353"/>
      <c r="AK22" s="353"/>
      <c r="AL22" s="353"/>
      <c r="AM22" s="353"/>
      <c r="AN22" s="353"/>
      <c r="AO22" s="353"/>
      <c r="AP22" s="353"/>
      <c r="AQ22" s="353"/>
      <c r="AR22" s="353"/>
      <c r="AS22" s="353"/>
      <c r="AT22" s="353"/>
    </row>
    <row r="23" spans="5:46" ht="17.399999999999999">
      <c r="E23" s="357" t="s">
        <v>334</v>
      </c>
      <c r="F23" s="358" t="s">
        <v>335</v>
      </c>
      <c r="G23" s="359">
        <v>45.3523</v>
      </c>
      <c r="H23" s="359">
        <v>10.8401</v>
      </c>
      <c r="I23" s="358" t="s">
        <v>327</v>
      </c>
      <c r="J23" s="358" t="s">
        <v>327</v>
      </c>
      <c r="K23" s="359">
        <v>12</v>
      </c>
      <c r="L23" s="360">
        <v>0.6</v>
      </c>
      <c r="M23" s="358">
        <v>46.22</v>
      </c>
      <c r="N23" s="359">
        <v>47.01</v>
      </c>
      <c r="O23" s="361">
        <v>40</v>
      </c>
      <c r="P23" s="360">
        <v>200</v>
      </c>
      <c r="Q23" s="362">
        <v>1</v>
      </c>
      <c r="X23" s="353"/>
      <c r="Y23" s="353"/>
      <c r="Z23" s="353"/>
      <c r="AA23" s="353"/>
      <c r="AB23" s="353"/>
      <c r="AC23" s="353"/>
      <c r="AD23" s="353"/>
      <c r="AE23" s="353"/>
      <c r="AF23" s="353"/>
      <c r="AG23" s="353"/>
      <c r="AH23" s="353"/>
      <c r="AI23" s="353"/>
      <c r="AJ23" s="353"/>
      <c r="AK23" s="353"/>
      <c r="AL23" s="353"/>
      <c r="AM23" s="353"/>
      <c r="AN23" s="353"/>
      <c r="AO23" s="353"/>
      <c r="AP23" s="353"/>
      <c r="AQ23" s="353"/>
      <c r="AR23" s="353"/>
      <c r="AS23" s="353"/>
      <c r="AT23" s="353"/>
    </row>
    <row r="24" spans="5:46" ht="17.399999999999999">
      <c r="E24" s="357" t="s">
        <v>334</v>
      </c>
      <c r="F24" s="358" t="s">
        <v>335</v>
      </c>
      <c r="G24" s="359">
        <v>45.3523</v>
      </c>
      <c r="H24" s="359">
        <v>10.8401</v>
      </c>
      <c r="I24" s="358" t="s">
        <v>327</v>
      </c>
      <c r="J24" s="358" t="s">
        <v>328</v>
      </c>
      <c r="K24" s="359">
        <v>12</v>
      </c>
      <c r="L24" s="360">
        <v>0.6</v>
      </c>
      <c r="M24" s="358">
        <v>46.22</v>
      </c>
      <c r="N24" s="359">
        <v>58.26</v>
      </c>
      <c r="O24" s="361">
        <v>40</v>
      </c>
      <c r="P24" s="360">
        <v>200</v>
      </c>
      <c r="Q24" s="362">
        <v>1</v>
      </c>
      <c r="X24" s="353"/>
      <c r="Y24" s="353"/>
      <c r="Z24" s="353"/>
      <c r="AA24" s="353"/>
      <c r="AB24" s="353"/>
      <c r="AC24" s="353"/>
      <c r="AD24" s="353"/>
      <c r="AE24" s="353"/>
      <c r="AF24" s="353"/>
      <c r="AG24" s="353"/>
      <c r="AH24" s="353"/>
      <c r="AI24" s="353"/>
      <c r="AJ24" s="353"/>
      <c r="AK24" s="353"/>
      <c r="AL24" s="353"/>
      <c r="AM24" s="353"/>
      <c r="AN24" s="353"/>
      <c r="AO24" s="353"/>
      <c r="AP24" s="353"/>
      <c r="AQ24" s="353"/>
      <c r="AR24" s="353"/>
      <c r="AS24" s="353"/>
      <c r="AT24" s="353"/>
    </row>
    <row r="25" spans="5:46" ht="17.399999999999999">
      <c r="E25" s="357" t="s">
        <v>334</v>
      </c>
      <c r="F25" s="358" t="s">
        <v>335</v>
      </c>
      <c r="G25" s="359">
        <v>45.3523</v>
      </c>
      <c r="H25" s="359">
        <v>10.8401</v>
      </c>
      <c r="I25" s="358" t="s">
        <v>328</v>
      </c>
      <c r="J25" s="358" t="s">
        <v>327</v>
      </c>
      <c r="K25" s="359">
        <v>12</v>
      </c>
      <c r="L25" s="360">
        <v>0.6</v>
      </c>
      <c r="M25" s="358">
        <v>56.8</v>
      </c>
      <c r="N25" s="359">
        <v>47.01</v>
      </c>
      <c r="O25" s="361">
        <v>40</v>
      </c>
      <c r="P25" s="360">
        <v>200</v>
      </c>
      <c r="Q25" s="362">
        <v>1</v>
      </c>
      <c r="X25" s="353"/>
      <c r="Y25" s="353"/>
      <c r="Z25" s="353"/>
      <c r="AA25" s="353"/>
      <c r="AB25" s="353"/>
      <c r="AC25" s="353"/>
      <c r="AD25" s="353"/>
      <c r="AE25" s="353"/>
      <c r="AF25" s="353"/>
      <c r="AG25" s="353"/>
      <c r="AH25" s="353"/>
      <c r="AI25" s="353"/>
      <c r="AJ25" s="353"/>
      <c r="AK25" s="353"/>
      <c r="AL25" s="353"/>
      <c r="AM25" s="353"/>
      <c r="AN25" s="353"/>
      <c r="AO25" s="353"/>
      <c r="AP25" s="353"/>
      <c r="AQ25" s="353"/>
      <c r="AR25" s="353"/>
      <c r="AS25" s="353"/>
      <c r="AT25" s="353"/>
    </row>
    <row r="26" spans="5:46" ht="17.399999999999999">
      <c r="E26" s="357" t="s">
        <v>334</v>
      </c>
      <c r="F26" s="358" t="s">
        <v>335</v>
      </c>
      <c r="G26" s="359">
        <v>45.3523</v>
      </c>
      <c r="H26" s="359">
        <v>10.8401</v>
      </c>
      <c r="I26" s="358" t="s">
        <v>328</v>
      </c>
      <c r="J26" s="358" t="s">
        <v>328</v>
      </c>
      <c r="K26" s="359">
        <v>12</v>
      </c>
      <c r="L26" s="360">
        <v>0.6</v>
      </c>
      <c r="M26" s="358">
        <v>56.8</v>
      </c>
      <c r="N26" s="359">
        <v>58.26</v>
      </c>
      <c r="O26" s="361">
        <v>40</v>
      </c>
      <c r="P26" s="360">
        <v>200</v>
      </c>
      <c r="Q26" s="362">
        <v>1</v>
      </c>
      <c r="X26" s="353"/>
      <c r="Y26" s="353"/>
      <c r="Z26" s="353"/>
      <c r="AA26" s="353"/>
      <c r="AB26" s="353"/>
      <c r="AC26" s="353"/>
      <c r="AD26" s="353"/>
      <c r="AE26" s="353"/>
      <c r="AF26" s="353"/>
      <c r="AG26" s="353"/>
      <c r="AH26" s="353"/>
      <c r="AI26" s="353"/>
      <c r="AJ26" s="353"/>
      <c r="AK26" s="353"/>
      <c r="AL26" s="353"/>
      <c r="AM26" s="353"/>
      <c r="AN26" s="353"/>
      <c r="AO26" s="353"/>
      <c r="AP26" s="353"/>
      <c r="AQ26" s="353"/>
      <c r="AR26" s="353"/>
      <c r="AS26" s="353"/>
      <c r="AT26" s="353"/>
    </row>
    <row r="27" spans="5:46" ht="17.399999999999999">
      <c r="E27" s="357" t="s">
        <v>334</v>
      </c>
      <c r="F27" s="358" t="s">
        <v>335</v>
      </c>
      <c r="G27" s="359">
        <v>45.3523</v>
      </c>
      <c r="H27" s="359">
        <v>10.8401</v>
      </c>
      <c r="I27" s="358" t="s">
        <v>327</v>
      </c>
      <c r="J27" s="358" t="s">
        <v>329</v>
      </c>
      <c r="K27" s="359">
        <v>12</v>
      </c>
      <c r="L27" s="360">
        <v>0.6</v>
      </c>
      <c r="M27" s="358">
        <v>46.22</v>
      </c>
      <c r="N27" s="359">
        <v>69.88</v>
      </c>
      <c r="O27" s="361">
        <v>40</v>
      </c>
      <c r="P27" s="360">
        <v>200</v>
      </c>
      <c r="Q27" s="362">
        <v>1</v>
      </c>
      <c r="X27" s="353"/>
      <c r="Y27" s="353"/>
      <c r="Z27" s="353"/>
      <c r="AA27" s="353"/>
      <c r="AB27" s="353"/>
      <c r="AC27" s="353"/>
      <c r="AD27" s="353"/>
      <c r="AE27" s="353"/>
      <c r="AF27" s="353"/>
      <c r="AG27" s="353"/>
      <c r="AH27" s="353"/>
      <c r="AI27" s="353"/>
      <c r="AJ27" s="353"/>
      <c r="AK27" s="353"/>
      <c r="AL27" s="353"/>
      <c r="AM27" s="353"/>
      <c r="AN27" s="353"/>
      <c r="AO27" s="353"/>
      <c r="AP27" s="353"/>
      <c r="AQ27" s="353"/>
      <c r="AR27" s="353"/>
      <c r="AS27" s="353"/>
      <c r="AT27" s="353"/>
    </row>
    <row r="28" spans="5:46" ht="17.399999999999999">
      <c r="E28" s="357" t="s">
        <v>334</v>
      </c>
      <c r="F28" s="358" t="s">
        <v>335</v>
      </c>
      <c r="G28" s="359">
        <v>45.3523</v>
      </c>
      <c r="H28" s="359">
        <v>10.8401</v>
      </c>
      <c r="I28" s="358" t="s">
        <v>329</v>
      </c>
      <c r="J28" s="358" t="s">
        <v>327</v>
      </c>
      <c r="K28" s="359">
        <v>12</v>
      </c>
      <c r="L28" s="360">
        <v>0.6</v>
      </c>
      <c r="M28" s="358">
        <v>69.88</v>
      </c>
      <c r="N28" s="359">
        <v>47.01</v>
      </c>
      <c r="O28" s="361">
        <v>40</v>
      </c>
      <c r="P28" s="360">
        <v>200</v>
      </c>
      <c r="Q28" s="362">
        <v>1</v>
      </c>
      <c r="X28" s="353"/>
      <c r="Y28" s="353"/>
      <c r="Z28" s="353"/>
      <c r="AA28" s="353"/>
      <c r="AB28" s="353"/>
      <c r="AC28" s="353"/>
      <c r="AD28" s="353"/>
      <c r="AE28" s="353"/>
      <c r="AF28" s="353"/>
      <c r="AG28" s="353"/>
      <c r="AH28" s="353"/>
      <c r="AI28" s="353"/>
      <c r="AJ28" s="353"/>
      <c r="AK28" s="353"/>
      <c r="AL28" s="353"/>
      <c r="AM28" s="353"/>
      <c r="AN28" s="353"/>
      <c r="AO28" s="353"/>
      <c r="AP28" s="353"/>
      <c r="AQ28" s="353"/>
      <c r="AR28" s="353"/>
      <c r="AS28" s="353"/>
      <c r="AT28" s="353"/>
    </row>
    <row r="29" spans="5:46" ht="17.399999999999999">
      <c r="E29" s="357" t="s">
        <v>334</v>
      </c>
      <c r="F29" s="358" t="s">
        <v>335</v>
      </c>
      <c r="G29" s="359">
        <v>45.3523</v>
      </c>
      <c r="H29" s="359">
        <v>10.8401</v>
      </c>
      <c r="I29" s="358" t="s">
        <v>328</v>
      </c>
      <c r="J29" s="358" t="s">
        <v>329</v>
      </c>
      <c r="K29" s="359">
        <v>12</v>
      </c>
      <c r="L29" s="360">
        <v>0.6</v>
      </c>
      <c r="M29" s="358">
        <v>56.8</v>
      </c>
      <c r="N29" s="359">
        <v>69.88</v>
      </c>
      <c r="O29" s="361">
        <v>40</v>
      </c>
      <c r="P29" s="360">
        <v>200</v>
      </c>
      <c r="Q29" s="362">
        <v>1</v>
      </c>
      <c r="X29" s="353"/>
      <c r="Y29" s="353"/>
      <c r="Z29" s="353"/>
      <c r="AA29" s="353"/>
      <c r="AB29" s="353"/>
      <c r="AC29" s="353"/>
      <c r="AD29" s="353"/>
      <c r="AE29" s="353"/>
      <c r="AF29" s="353"/>
      <c r="AG29" s="353"/>
      <c r="AH29" s="353"/>
      <c r="AI29" s="353"/>
      <c r="AJ29" s="353"/>
      <c r="AK29" s="353"/>
      <c r="AL29" s="353"/>
      <c r="AM29" s="353"/>
      <c r="AN29" s="353"/>
      <c r="AO29" s="353"/>
      <c r="AP29" s="353"/>
      <c r="AQ29" s="353"/>
      <c r="AR29" s="353"/>
      <c r="AS29" s="353"/>
      <c r="AT29" s="353"/>
    </row>
    <row r="30" spans="5:46" ht="17.399999999999999">
      <c r="E30" s="357" t="s">
        <v>334</v>
      </c>
      <c r="F30" s="358" t="s">
        <v>335</v>
      </c>
      <c r="G30" s="359">
        <v>45.3523</v>
      </c>
      <c r="H30" s="359">
        <v>10.8401</v>
      </c>
      <c r="I30" s="358" t="s">
        <v>329</v>
      </c>
      <c r="J30" s="358" t="s">
        <v>328</v>
      </c>
      <c r="K30" s="359">
        <v>12</v>
      </c>
      <c r="L30" s="360">
        <v>0.6</v>
      </c>
      <c r="M30" s="358">
        <v>69.88</v>
      </c>
      <c r="N30" s="359">
        <v>58.26</v>
      </c>
      <c r="O30" s="361">
        <v>40</v>
      </c>
      <c r="P30" s="360">
        <v>200</v>
      </c>
      <c r="Q30" s="362">
        <v>1</v>
      </c>
      <c r="X30" s="353"/>
      <c r="Y30" s="353"/>
      <c r="Z30" s="353"/>
      <c r="AA30" s="353"/>
      <c r="AB30" s="353"/>
      <c r="AC30" s="353"/>
      <c r="AD30" s="353"/>
      <c r="AE30" s="353"/>
      <c r="AF30" s="353"/>
      <c r="AG30" s="353"/>
      <c r="AH30" s="353"/>
      <c r="AI30" s="353"/>
      <c r="AJ30" s="353"/>
      <c r="AK30" s="353"/>
      <c r="AL30" s="353"/>
      <c r="AM30" s="353"/>
      <c r="AN30" s="353"/>
      <c r="AO30" s="353"/>
      <c r="AP30" s="353"/>
      <c r="AQ30" s="353"/>
      <c r="AR30" s="353"/>
      <c r="AS30" s="353"/>
      <c r="AT30" s="353"/>
    </row>
    <row r="31" spans="5:46" ht="17.399999999999999">
      <c r="E31" s="357" t="s">
        <v>334</v>
      </c>
      <c r="F31" s="358" t="s">
        <v>335</v>
      </c>
      <c r="G31" s="359">
        <v>45.3523</v>
      </c>
      <c r="H31" s="359">
        <v>10.8401</v>
      </c>
      <c r="I31" s="358" t="s">
        <v>329</v>
      </c>
      <c r="J31" s="358" t="s">
        <v>329</v>
      </c>
      <c r="K31" s="359">
        <v>12</v>
      </c>
      <c r="L31" s="360">
        <v>0.6</v>
      </c>
      <c r="M31" s="358">
        <v>69.88</v>
      </c>
      <c r="N31" s="359">
        <v>69.88</v>
      </c>
      <c r="O31" s="361">
        <v>40</v>
      </c>
      <c r="P31" s="360">
        <v>200</v>
      </c>
      <c r="Q31" s="362">
        <v>1</v>
      </c>
      <c r="X31" s="353"/>
      <c r="Y31" s="353"/>
      <c r="Z31" s="353"/>
      <c r="AA31" s="353"/>
      <c r="AB31" s="353"/>
      <c r="AC31" s="353"/>
      <c r="AD31" s="353"/>
      <c r="AE31" s="353"/>
      <c r="AF31" s="353"/>
      <c r="AG31" s="353"/>
      <c r="AH31" s="353"/>
      <c r="AI31" s="353"/>
      <c r="AJ31" s="353"/>
      <c r="AK31" s="353"/>
      <c r="AL31" s="353"/>
      <c r="AM31" s="353"/>
      <c r="AN31" s="353"/>
      <c r="AO31" s="353"/>
      <c r="AP31" s="353"/>
      <c r="AQ31" s="353"/>
      <c r="AR31" s="353"/>
      <c r="AS31" s="353"/>
      <c r="AT31" s="353"/>
    </row>
    <row r="32" spans="5:46" ht="17.399999999999999">
      <c r="E32" s="357" t="s">
        <v>336</v>
      </c>
      <c r="F32" s="358" t="s">
        <v>337</v>
      </c>
      <c r="G32" s="359">
        <v>67.858400000000003</v>
      </c>
      <c r="H32" s="359">
        <v>20.966799999999999</v>
      </c>
      <c r="I32" s="358" t="s">
        <v>327</v>
      </c>
      <c r="J32" s="358" t="s">
        <v>328</v>
      </c>
      <c r="K32" s="359">
        <v>13</v>
      </c>
      <c r="L32" s="360">
        <v>0.6</v>
      </c>
      <c r="M32" s="358">
        <v>46.91</v>
      </c>
      <c r="N32" s="359">
        <v>58.96</v>
      </c>
      <c r="O32" s="361">
        <v>40</v>
      </c>
      <c r="P32" s="360">
        <v>200</v>
      </c>
      <c r="Q32" s="362">
        <v>1</v>
      </c>
      <c r="X32" s="353"/>
      <c r="Y32" s="353"/>
      <c r="Z32" s="353"/>
      <c r="AA32" s="353"/>
      <c r="AB32" s="353"/>
      <c r="AC32" s="353"/>
      <c r="AD32" s="353"/>
      <c r="AE32" s="353"/>
      <c r="AF32" s="353"/>
      <c r="AG32" s="353"/>
      <c r="AH32" s="353"/>
      <c r="AI32" s="353"/>
      <c r="AJ32" s="353"/>
      <c r="AK32" s="353"/>
      <c r="AL32" s="353"/>
      <c r="AM32" s="353"/>
      <c r="AN32" s="353"/>
      <c r="AO32" s="353"/>
      <c r="AP32" s="353"/>
      <c r="AQ32" s="353"/>
      <c r="AR32" s="353"/>
      <c r="AS32" s="353"/>
      <c r="AT32" s="353"/>
    </row>
    <row r="33" spans="5:46" ht="17.399999999999999">
      <c r="E33" s="357" t="s">
        <v>336</v>
      </c>
      <c r="F33" s="358" t="s">
        <v>337</v>
      </c>
      <c r="G33" s="359">
        <v>67.858400000000003</v>
      </c>
      <c r="H33" s="359">
        <v>20.966799999999999</v>
      </c>
      <c r="I33" s="358" t="s">
        <v>327</v>
      </c>
      <c r="J33" s="358" t="s">
        <v>327</v>
      </c>
      <c r="K33" s="359">
        <v>13</v>
      </c>
      <c r="L33" s="360">
        <v>0.6</v>
      </c>
      <c r="M33" s="358">
        <v>46.91</v>
      </c>
      <c r="N33" s="359">
        <v>47.7</v>
      </c>
      <c r="O33" s="361">
        <v>40</v>
      </c>
      <c r="P33" s="360">
        <v>200</v>
      </c>
      <c r="Q33" s="362">
        <v>1</v>
      </c>
      <c r="X33" s="353"/>
      <c r="Y33" s="353"/>
      <c r="Z33" s="353"/>
      <c r="AA33" s="353"/>
      <c r="AB33" s="353"/>
      <c r="AC33" s="353"/>
      <c r="AD33" s="353"/>
      <c r="AE33" s="353"/>
      <c r="AF33" s="353"/>
      <c r="AG33" s="353"/>
      <c r="AH33" s="353"/>
      <c r="AI33" s="353"/>
      <c r="AJ33" s="353"/>
      <c r="AK33" s="353"/>
      <c r="AL33" s="353"/>
      <c r="AM33" s="353"/>
      <c r="AN33" s="353"/>
      <c r="AO33" s="353"/>
      <c r="AP33" s="353"/>
      <c r="AQ33" s="353"/>
      <c r="AR33" s="353"/>
      <c r="AS33" s="353"/>
      <c r="AT33" s="353"/>
    </row>
    <row r="34" spans="5:46" ht="17.399999999999999">
      <c r="E34" s="357" t="s">
        <v>338</v>
      </c>
      <c r="F34" s="358" t="s">
        <v>337</v>
      </c>
      <c r="G34" s="359">
        <v>67.849999999999994</v>
      </c>
      <c r="H34" s="359">
        <v>20.216699999999999</v>
      </c>
      <c r="I34" s="358" t="s">
        <v>327</v>
      </c>
      <c r="J34" s="358" t="s">
        <v>327</v>
      </c>
      <c r="K34" s="359">
        <v>15</v>
      </c>
      <c r="L34" s="360">
        <v>0.6</v>
      </c>
      <c r="M34" s="358">
        <v>48.16</v>
      </c>
      <c r="N34" s="359">
        <v>48.95</v>
      </c>
      <c r="O34" s="361">
        <v>40</v>
      </c>
      <c r="P34" s="360">
        <v>200</v>
      </c>
      <c r="Q34" s="362">
        <v>1</v>
      </c>
      <c r="X34" s="353"/>
      <c r="Y34" s="353"/>
      <c r="Z34" s="353"/>
      <c r="AA34" s="353"/>
      <c r="AB34" s="353"/>
      <c r="AC34" s="353"/>
      <c r="AD34" s="353"/>
      <c r="AE34" s="353"/>
      <c r="AF34" s="353"/>
      <c r="AG34" s="353"/>
      <c r="AH34" s="353"/>
      <c r="AI34" s="353"/>
      <c r="AJ34" s="353"/>
      <c r="AK34" s="353"/>
      <c r="AL34" s="353"/>
      <c r="AM34" s="353"/>
      <c r="AN34" s="353"/>
      <c r="AO34" s="353"/>
      <c r="AP34" s="353"/>
      <c r="AQ34" s="353"/>
      <c r="AR34" s="353"/>
      <c r="AS34" s="353"/>
      <c r="AT34" s="353"/>
    </row>
    <row r="35" spans="5:46" ht="17.399999999999999">
      <c r="E35" s="357" t="s">
        <v>338</v>
      </c>
      <c r="F35" s="358" t="s">
        <v>337</v>
      </c>
      <c r="G35" s="359">
        <v>67.849999999999994</v>
      </c>
      <c r="H35" s="359">
        <v>20.216699999999999</v>
      </c>
      <c r="I35" s="358" t="s">
        <v>327</v>
      </c>
      <c r="J35" s="358" t="s">
        <v>328</v>
      </c>
      <c r="K35" s="359">
        <v>15</v>
      </c>
      <c r="L35" s="360">
        <v>0.6</v>
      </c>
      <c r="M35" s="358">
        <v>48.16</v>
      </c>
      <c r="N35" s="359">
        <v>60.2</v>
      </c>
      <c r="O35" s="361">
        <v>40</v>
      </c>
      <c r="P35" s="360">
        <v>200</v>
      </c>
      <c r="Q35" s="362">
        <v>1</v>
      </c>
      <c r="X35" s="353"/>
      <c r="Y35" s="353"/>
      <c r="Z35" s="353"/>
      <c r="AA35" s="353"/>
      <c r="AB35" s="353"/>
      <c r="AC35" s="353"/>
      <c r="AD35" s="353"/>
      <c r="AE35" s="353"/>
      <c r="AF35" s="353"/>
      <c r="AG35" s="353"/>
      <c r="AH35" s="353"/>
      <c r="AI35" s="353"/>
      <c r="AJ35" s="353"/>
      <c r="AK35" s="353"/>
      <c r="AL35" s="353"/>
      <c r="AM35" s="353"/>
      <c r="AN35" s="353"/>
      <c r="AO35" s="353"/>
      <c r="AP35" s="353"/>
      <c r="AQ35" s="353"/>
      <c r="AR35" s="353"/>
      <c r="AS35" s="353"/>
      <c r="AT35" s="353"/>
    </row>
    <row r="36" spans="5:46" ht="17.399999999999999">
      <c r="E36" s="357" t="s">
        <v>339</v>
      </c>
      <c r="F36" s="358" t="s">
        <v>340</v>
      </c>
      <c r="G36" s="359">
        <v>27.7667</v>
      </c>
      <c r="H36" s="359">
        <v>-15.583299999999999</v>
      </c>
      <c r="I36" s="358" t="s">
        <v>327</v>
      </c>
      <c r="J36" s="358" t="s">
        <v>327</v>
      </c>
      <c r="K36" s="359">
        <v>15</v>
      </c>
      <c r="L36" s="360">
        <v>0.6</v>
      </c>
      <c r="M36" s="358">
        <v>48.16</v>
      </c>
      <c r="N36" s="359">
        <v>48.95</v>
      </c>
      <c r="O36" s="361">
        <v>40</v>
      </c>
      <c r="P36" s="360">
        <v>200</v>
      </c>
      <c r="Q36" s="362">
        <v>1</v>
      </c>
      <c r="X36" s="353"/>
      <c r="Y36" s="353"/>
      <c r="Z36" s="353"/>
      <c r="AA36" s="353"/>
      <c r="AB36" s="353"/>
      <c r="AC36" s="353"/>
      <c r="AD36" s="353"/>
      <c r="AE36" s="353"/>
      <c r="AF36" s="353"/>
      <c r="AG36" s="353"/>
      <c r="AH36" s="353"/>
      <c r="AI36" s="353"/>
      <c r="AJ36" s="353"/>
      <c r="AK36" s="353"/>
      <c r="AL36" s="353"/>
      <c r="AM36" s="353"/>
      <c r="AN36" s="353"/>
      <c r="AO36" s="353"/>
      <c r="AP36" s="353"/>
      <c r="AQ36" s="353"/>
      <c r="AR36" s="353"/>
      <c r="AS36" s="353"/>
      <c r="AT36" s="353"/>
    </row>
    <row r="37" spans="5:46" ht="17.399999999999999">
      <c r="E37" s="357" t="s">
        <v>339</v>
      </c>
      <c r="F37" s="358" t="s">
        <v>340</v>
      </c>
      <c r="G37" s="359">
        <v>27.7667</v>
      </c>
      <c r="H37" s="359">
        <v>-15.583299999999999</v>
      </c>
      <c r="I37" s="358" t="s">
        <v>327</v>
      </c>
      <c r="J37" s="358" t="s">
        <v>328</v>
      </c>
      <c r="K37" s="359">
        <v>15</v>
      </c>
      <c r="L37" s="360">
        <v>0.6</v>
      </c>
      <c r="M37" s="358">
        <v>48.16</v>
      </c>
      <c r="N37" s="359">
        <v>60.2</v>
      </c>
      <c r="O37" s="361">
        <v>40</v>
      </c>
      <c r="P37" s="360">
        <v>200</v>
      </c>
      <c r="Q37" s="362">
        <v>1</v>
      </c>
      <c r="X37" s="353"/>
      <c r="Y37" s="353"/>
      <c r="Z37" s="353"/>
      <c r="AA37" s="353"/>
      <c r="AB37" s="353"/>
      <c r="AC37" s="353"/>
      <c r="AD37" s="353"/>
      <c r="AE37" s="353"/>
      <c r="AF37" s="353"/>
      <c r="AG37" s="353"/>
      <c r="AH37" s="353"/>
      <c r="AI37" s="353"/>
      <c r="AJ37" s="353"/>
      <c r="AK37" s="353"/>
      <c r="AL37" s="353"/>
      <c r="AM37" s="353"/>
      <c r="AN37" s="353"/>
      <c r="AO37" s="353"/>
      <c r="AP37" s="353"/>
      <c r="AQ37" s="353"/>
      <c r="AR37" s="353"/>
      <c r="AS37" s="353"/>
      <c r="AT37" s="353"/>
    </row>
    <row r="38" spans="5:46" ht="17.399999999999999">
      <c r="E38" s="357" t="s">
        <v>341</v>
      </c>
      <c r="F38" s="358" t="s">
        <v>342</v>
      </c>
      <c r="G38" s="359">
        <v>-31.952200000000001</v>
      </c>
      <c r="H38" s="359">
        <v>115.85890000000001</v>
      </c>
      <c r="I38" s="358" t="s">
        <v>327</v>
      </c>
      <c r="J38" s="358" t="s">
        <v>327</v>
      </c>
      <c r="K38" s="359">
        <v>15</v>
      </c>
      <c r="L38" s="360">
        <v>0.6</v>
      </c>
      <c r="M38" s="358">
        <v>48.16</v>
      </c>
      <c r="N38" s="359">
        <v>48.95</v>
      </c>
      <c r="O38" s="361">
        <v>40</v>
      </c>
      <c r="P38" s="360">
        <v>200</v>
      </c>
      <c r="Q38" s="362">
        <v>1</v>
      </c>
      <c r="X38" s="353"/>
      <c r="Y38" s="353"/>
      <c r="Z38" s="353"/>
      <c r="AA38" s="353"/>
      <c r="AB38" s="353"/>
      <c r="AC38" s="353"/>
      <c r="AD38" s="353"/>
      <c r="AE38" s="353"/>
      <c r="AF38" s="353"/>
      <c r="AG38" s="353"/>
      <c r="AH38" s="353"/>
      <c r="AI38" s="353"/>
      <c r="AJ38" s="353"/>
      <c r="AK38" s="353"/>
      <c r="AL38" s="353"/>
      <c r="AM38" s="353"/>
      <c r="AN38" s="353"/>
      <c r="AO38" s="353"/>
      <c r="AP38" s="353"/>
      <c r="AQ38" s="353"/>
      <c r="AR38" s="353"/>
      <c r="AS38" s="353"/>
      <c r="AT38" s="353"/>
    </row>
    <row r="39" spans="5:46" ht="17.399999999999999">
      <c r="E39" s="357" t="s">
        <v>341</v>
      </c>
      <c r="F39" s="358" t="s">
        <v>342</v>
      </c>
      <c r="G39" s="359">
        <v>-31.952200000000001</v>
      </c>
      <c r="H39" s="359">
        <v>115.85890000000001</v>
      </c>
      <c r="I39" s="358" t="s">
        <v>327</v>
      </c>
      <c r="J39" s="358" t="s">
        <v>328</v>
      </c>
      <c r="K39" s="359">
        <v>15</v>
      </c>
      <c r="L39" s="360">
        <v>0.6</v>
      </c>
      <c r="M39" s="358">
        <v>48.16</v>
      </c>
      <c r="N39" s="359">
        <v>60.2</v>
      </c>
      <c r="O39" s="361">
        <v>40</v>
      </c>
      <c r="P39" s="360">
        <v>200</v>
      </c>
      <c r="Q39" s="362">
        <v>1</v>
      </c>
      <c r="X39" s="353"/>
      <c r="Y39" s="353"/>
      <c r="Z39" s="353"/>
      <c r="AA39" s="353"/>
      <c r="AB39" s="353"/>
      <c r="AC39" s="353"/>
      <c r="AD39" s="353"/>
      <c r="AE39" s="353"/>
      <c r="AF39" s="353"/>
      <c r="AG39" s="353"/>
      <c r="AH39" s="353"/>
      <c r="AI39" s="353"/>
      <c r="AJ39" s="353"/>
      <c r="AK39" s="353"/>
      <c r="AL39" s="353"/>
      <c r="AM39" s="353"/>
      <c r="AN39" s="353"/>
      <c r="AO39" s="353"/>
      <c r="AP39" s="353"/>
      <c r="AQ39" s="353"/>
      <c r="AR39" s="353"/>
      <c r="AS39" s="353"/>
      <c r="AT39" s="353"/>
    </row>
    <row r="40" spans="5:46" ht="17.399999999999999">
      <c r="E40" s="357" t="s">
        <v>341</v>
      </c>
      <c r="F40" s="358" t="s">
        <v>342</v>
      </c>
      <c r="G40" s="359">
        <v>-31.952200000000001</v>
      </c>
      <c r="H40" s="359">
        <v>115.85890000000001</v>
      </c>
      <c r="I40" s="358" t="s">
        <v>328</v>
      </c>
      <c r="J40" s="358" t="s">
        <v>327</v>
      </c>
      <c r="K40" s="359">
        <v>15</v>
      </c>
      <c r="L40" s="360">
        <v>0.6</v>
      </c>
      <c r="M40" s="358">
        <v>58.74</v>
      </c>
      <c r="N40" s="359">
        <v>48.95</v>
      </c>
      <c r="O40" s="361">
        <v>40</v>
      </c>
      <c r="P40" s="360">
        <v>200</v>
      </c>
      <c r="Q40" s="362">
        <v>1</v>
      </c>
      <c r="X40" s="353"/>
      <c r="Y40" s="353"/>
      <c r="Z40" s="353"/>
      <c r="AA40" s="353"/>
      <c r="AB40" s="353"/>
      <c r="AC40" s="353"/>
      <c r="AD40" s="353"/>
      <c r="AE40" s="353"/>
      <c r="AF40" s="353"/>
      <c r="AG40" s="353"/>
      <c r="AH40" s="353"/>
      <c r="AI40" s="353"/>
      <c r="AJ40" s="353"/>
      <c r="AK40" s="353"/>
      <c r="AL40" s="353"/>
      <c r="AM40" s="353"/>
      <c r="AN40" s="353"/>
      <c r="AO40" s="353"/>
      <c r="AP40" s="353"/>
      <c r="AQ40" s="353"/>
      <c r="AR40" s="353"/>
      <c r="AS40" s="353"/>
      <c r="AT40" s="353"/>
    </row>
    <row r="41" spans="5:46" ht="17.399999999999999">
      <c r="E41" s="357" t="s">
        <v>341</v>
      </c>
      <c r="F41" s="358" t="s">
        <v>342</v>
      </c>
      <c r="G41" s="359">
        <v>-31.952200000000001</v>
      </c>
      <c r="H41" s="359">
        <v>115.85890000000001</v>
      </c>
      <c r="I41" s="358" t="s">
        <v>328</v>
      </c>
      <c r="J41" s="358" t="s">
        <v>328</v>
      </c>
      <c r="K41" s="359">
        <v>15</v>
      </c>
      <c r="L41" s="360">
        <v>0.6</v>
      </c>
      <c r="M41" s="358">
        <v>58.74</v>
      </c>
      <c r="N41" s="359">
        <v>60.2</v>
      </c>
      <c r="O41" s="361">
        <v>40</v>
      </c>
      <c r="P41" s="360">
        <v>200</v>
      </c>
      <c r="Q41" s="362">
        <v>1</v>
      </c>
      <c r="X41" s="353"/>
      <c r="Y41" s="353"/>
      <c r="Z41" s="353"/>
      <c r="AA41" s="353"/>
      <c r="AB41" s="353"/>
      <c r="AC41" s="353"/>
      <c r="AD41" s="353"/>
      <c r="AE41" s="353"/>
      <c r="AF41" s="353"/>
      <c r="AG41" s="353"/>
      <c r="AH41" s="353"/>
      <c r="AI41" s="353"/>
      <c r="AJ41" s="353"/>
      <c r="AK41" s="353"/>
      <c r="AL41" s="353"/>
      <c r="AM41" s="353"/>
      <c r="AN41" s="353"/>
      <c r="AO41" s="353"/>
      <c r="AP41" s="353"/>
      <c r="AQ41" s="353"/>
      <c r="AR41" s="353"/>
      <c r="AS41" s="353"/>
      <c r="AT41" s="353"/>
    </row>
    <row r="42" spans="5:46" ht="17.399999999999999">
      <c r="E42" s="357" t="s">
        <v>343</v>
      </c>
      <c r="F42" s="358" t="s">
        <v>344</v>
      </c>
      <c r="G42" s="359">
        <v>50</v>
      </c>
      <c r="H42" s="359">
        <v>5.1666999999999996</v>
      </c>
      <c r="I42" s="358" t="s">
        <v>327</v>
      </c>
      <c r="J42" s="358" t="s">
        <v>327</v>
      </c>
      <c r="K42" s="359">
        <v>15</v>
      </c>
      <c r="L42" s="360">
        <v>0.6</v>
      </c>
      <c r="M42" s="358">
        <v>48.16</v>
      </c>
      <c r="N42" s="359">
        <v>48.95</v>
      </c>
      <c r="O42" s="361">
        <v>40</v>
      </c>
      <c r="P42" s="360">
        <v>200</v>
      </c>
      <c r="Q42" s="362">
        <v>1</v>
      </c>
      <c r="X42" s="353"/>
      <c r="Y42" s="353"/>
      <c r="Z42" s="353"/>
      <c r="AA42" s="353"/>
      <c r="AB42" s="353"/>
      <c r="AC42" s="353"/>
      <c r="AD42" s="353"/>
      <c r="AE42" s="353"/>
      <c r="AF42" s="353"/>
      <c r="AG42" s="353"/>
      <c r="AH42" s="353"/>
      <c r="AI42" s="353"/>
      <c r="AJ42" s="353"/>
      <c r="AK42" s="353"/>
      <c r="AL42" s="353"/>
      <c r="AM42" s="353"/>
      <c r="AN42" s="353"/>
      <c r="AO42" s="353"/>
      <c r="AP42" s="353"/>
      <c r="AQ42" s="353"/>
      <c r="AR42" s="353"/>
      <c r="AS42" s="353"/>
      <c r="AT42" s="353"/>
    </row>
    <row r="43" spans="5:46" ht="17.399999999999999">
      <c r="E43" s="357" t="s">
        <v>345</v>
      </c>
      <c r="F43" s="358" t="s">
        <v>344</v>
      </c>
      <c r="G43" s="359">
        <v>50</v>
      </c>
      <c r="H43" s="359">
        <v>5.1666999999999996</v>
      </c>
      <c r="I43" s="358" t="s">
        <v>329</v>
      </c>
      <c r="J43" s="358" t="s">
        <v>329</v>
      </c>
      <c r="K43" s="359">
        <v>13.5</v>
      </c>
      <c r="L43" s="360">
        <v>0.6</v>
      </c>
      <c r="M43" s="358">
        <v>70.900000000000006</v>
      </c>
      <c r="N43" s="359">
        <v>70.900000000000006</v>
      </c>
      <c r="O43" s="361">
        <v>40</v>
      </c>
      <c r="P43" s="360">
        <v>200</v>
      </c>
      <c r="Q43" s="362">
        <v>1</v>
      </c>
      <c r="X43" s="353"/>
      <c r="Y43" s="353"/>
      <c r="Z43" s="353"/>
      <c r="AA43" s="353"/>
      <c r="AB43" s="353"/>
      <c r="AC43" s="353"/>
      <c r="AD43" s="353"/>
      <c r="AE43" s="353"/>
      <c r="AF43" s="353"/>
      <c r="AG43" s="353"/>
      <c r="AH43" s="353"/>
      <c r="AI43" s="353"/>
      <c r="AJ43" s="353"/>
      <c r="AK43" s="353"/>
      <c r="AL43" s="353"/>
      <c r="AM43" s="353"/>
      <c r="AN43" s="353"/>
      <c r="AO43" s="353"/>
      <c r="AP43" s="353"/>
      <c r="AQ43" s="353"/>
      <c r="AR43" s="353"/>
      <c r="AS43" s="353"/>
      <c r="AT43" s="353"/>
    </row>
    <row r="44" spans="5:46" ht="17.399999999999999">
      <c r="E44" s="357" t="s">
        <v>346</v>
      </c>
      <c r="F44" s="358" t="s">
        <v>344</v>
      </c>
      <c r="G44" s="359">
        <v>50</v>
      </c>
      <c r="H44" s="359">
        <v>5.1666999999999996</v>
      </c>
      <c r="I44" s="358" t="s">
        <v>327</v>
      </c>
      <c r="J44" s="358" t="s">
        <v>327</v>
      </c>
      <c r="K44" s="359">
        <v>2.4</v>
      </c>
      <c r="L44" s="360">
        <v>0.6</v>
      </c>
      <c r="M44" s="358">
        <v>32.24</v>
      </c>
      <c r="N44" s="359">
        <v>33.03</v>
      </c>
      <c r="O44" s="361">
        <v>40</v>
      </c>
      <c r="P44" s="360">
        <v>200</v>
      </c>
      <c r="Q44" s="362">
        <v>1</v>
      </c>
      <c r="X44" s="353"/>
      <c r="Y44" s="353"/>
      <c r="Z44" s="353"/>
      <c r="AA44" s="353"/>
      <c r="AB44" s="353"/>
      <c r="AC44" s="353"/>
      <c r="AD44" s="353"/>
      <c r="AE44" s="353"/>
      <c r="AF44" s="353"/>
      <c r="AG44" s="353"/>
      <c r="AH44" s="353"/>
      <c r="AI44" s="353"/>
      <c r="AJ44" s="353"/>
      <c r="AK44" s="353"/>
      <c r="AL44" s="353"/>
      <c r="AM44" s="353"/>
      <c r="AN44" s="353"/>
      <c r="AO44" s="353"/>
      <c r="AP44" s="353"/>
      <c r="AQ44" s="353"/>
      <c r="AR44" s="353"/>
      <c r="AS44" s="353"/>
      <c r="AT44" s="353"/>
    </row>
    <row r="45" spans="5:46" ht="17.399999999999999">
      <c r="E45" s="357" t="s">
        <v>347</v>
      </c>
      <c r="F45" s="358" t="s">
        <v>348</v>
      </c>
      <c r="G45" s="359">
        <v>5.1597</v>
      </c>
      <c r="H45" s="359">
        <v>-52.65</v>
      </c>
      <c r="I45" s="358" t="s">
        <v>327</v>
      </c>
      <c r="J45" s="358" t="s">
        <v>327</v>
      </c>
      <c r="K45" s="359">
        <v>15</v>
      </c>
      <c r="L45" s="360">
        <v>0.6</v>
      </c>
      <c r="M45" s="358">
        <v>48.16</v>
      </c>
      <c r="N45" s="359">
        <v>48.95</v>
      </c>
      <c r="O45" s="361">
        <v>40</v>
      </c>
      <c r="P45" s="360">
        <v>200</v>
      </c>
      <c r="Q45" s="362">
        <v>1</v>
      </c>
      <c r="X45" s="353"/>
      <c r="Y45" s="353"/>
      <c r="Z45" s="353"/>
      <c r="AA45" s="353"/>
      <c r="AB45" s="353"/>
      <c r="AC45" s="353"/>
      <c r="AD45" s="353"/>
      <c r="AE45" s="353"/>
      <c r="AF45" s="353"/>
      <c r="AG45" s="353"/>
      <c r="AH45" s="353"/>
      <c r="AI45" s="353"/>
      <c r="AJ45" s="353"/>
      <c r="AK45" s="353"/>
      <c r="AL45" s="353"/>
      <c r="AM45" s="353"/>
      <c r="AN45" s="353"/>
      <c r="AO45" s="353"/>
      <c r="AP45" s="353"/>
      <c r="AQ45" s="353"/>
      <c r="AR45" s="353"/>
      <c r="AS45" s="353"/>
      <c r="AT45" s="353"/>
    </row>
    <row r="46" spans="5:46" ht="17.399999999999999">
      <c r="E46" s="357" t="s">
        <v>347</v>
      </c>
      <c r="F46" s="358" t="s">
        <v>348</v>
      </c>
      <c r="G46" s="359">
        <v>5.1597</v>
      </c>
      <c r="H46" s="359">
        <v>-52.65</v>
      </c>
      <c r="I46" s="358" t="s">
        <v>327</v>
      </c>
      <c r="J46" s="358" t="s">
        <v>328</v>
      </c>
      <c r="K46" s="359">
        <v>15</v>
      </c>
      <c r="L46" s="360">
        <v>0.6</v>
      </c>
      <c r="M46" s="358">
        <v>48.16</v>
      </c>
      <c r="N46" s="359">
        <v>60.2</v>
      </c>
      <c r="O46" s="361">
        <v>40</v>
      </c>
      <c r="P46" s="360">
        <v>200</v>
      </c>
      <c r="Q46" s="362">
        <v>1</v>
      </c>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353"/>
    </row>
    <row r="47" spans="5:46" ht="17.399999999999999">
      <c r="E47" s="357" t="s">
        <v>347</v>
      </c>
      <c r="F47" s="358" t="s">
        <v>348</v>
      </c>
      <c r="G47" s="359">
        <v>5.1597</v>
      </c>
      <c r="H47" s="359">
        <v>-52.65</v>
      </c>
      <c r="I47" s="358" t="s">
        <v>328</v>
      </c>
      <c r="J47" s="358" t="s">
        <v>327</v>
      </c>
      <c r="K47" s="359">
        <v>15</v>
      </c>
      <c r="L47" s="360">
        <v>0.6</v>
      </c>
      <c r="M47" s="358">
        <v>58.74</v>
      </c>
      <c r="N47" s="359">
        <v>48.95</v>
      </c>
      <c r="O47" s="361">
        <v>40</v>
      </c>
      <c r="P47" s="360">
        <v>200</v>
      </c>
      <c r="Q47" s="362">
        <v>1</v>
      </c>
      <c r="X47" s="353"/>
      <c r="Y47" s="353"/>
      <c r="Z47" s="353"/>
      <c r="AA47" s="353"/>
      <c r="AB47" s="353"/>
      <c r="AC47" s="353"/>
      <c r="AD47" s="353"/>
      <c r="AE47" s="353"/>
      <c r="AF47" s="353"/>
      <c r="AG47" s="353"/>
      <c r="AH47" s="353"/>
      <c r="AI47" s="353"/>
      <c r="AJ47" s="353"/>
      <c r="AK47" s="353"/>
      <c r="AL47" s="353"/>
      <c r="AM47" s="353"/>
      <c r="AN47" s="353"/>
      <c r="AO47" s="353"/>
      <c r="AP47" s="353"/>
      <c r="AQ47" s="353"/>
      <c r="AR47" s="353"/>
      <c r="AS47" s="353"/>
      <c r="AT47" s="353"/>
    </row>
    <row r="48" spans="5:46" ht="17.399999999999999">
      <c r="E48" s="357" t="s">
        <v>347</v>
      </c>
      <c r="F48" s="358" t="s">
        <v>348</v>
      </c>
      <c r="G48" s="359">
        <v>5.1597</v>
      </c>
      <c r="H48" s="359">
        <v>-52.65</v>
      </c>
      <c r="I48" s="358" t="s">
        <v>328</v>
      </c>
      <c r="J48" s="358" t="s">
        <v>328</v>
      </c>
      <c r="K48" s="359">
        <v>15</v>
      </c>
      <c r="L48" s="360">
        <v>0.6</v>
      </c>
      <c r="M48" s="358">
        <v>58.74</v>
      </c>
      <c r="N48" s="358">
        <v>60.2</v>
      </c>
      <c r="O48" s="361">
        <v>40</v>
      </c>
      <c r="P48" s="360">
        <v>200</v>
      </c>
      <c r="Q48" s="362">
        <v>1</v>
      </c>
      <c r="X48" s="353"/>
      <c r="Y48" s="353"/>
      <c r="Z48" s="353"/>
      <c r="AA48" s="353"/>
      <c r="AB48" s="353"/>
      <c r="AC48" s="353"/>
      <c r="AD48" s="353"/>
      <c r="AE48" s="353"/>
      <c r="AF48" s="353"/>
      <c r="AG48" s="353"/>
      <c r="AH48" s="353"/>
      <c r="AI48" s="353"/>
      <c r="AJ48" s="353"/>
      <c r="AK48" s="353"/>
      <c r="AL48" s="353"/>
      <c r="AM48" s="353"/>
      <c r="AN48" s="353"/>
      <c r="AO48" s="353"/>
      <c r="AP48" s="353"/>
      <c r="AQ48" s="353"/>
      <c r="AR48" s="353"/>
      <c r="AS48" s="353"/>
      <c r="AT48" s="353"/>
    </row>
    <row r="49" spans="1:46" ht="17.399999999999999">
      <c r="E49" s="357" t="s">
        <v>349</v>
      </c>
      <c r="F49" s="358" t="s">
        <v>348</v>
      </c>
      <c r="G49" s="359">
        <v>5.1597</v>
      </c>
      <c r="H49" s="359">
        <v>-52.65</v>
      </c>
      <c r="I49" s="358" t="s">
        <v>328</v>
      </c>
      <c r="J49" s="358" t="s">
        <v>328</v>
      </c>
      <c r="K49" s="359">
        <v>13</v>
      </c>
      <c r="L49" s="360">
        <v>0.6</v>
      </c>
      <c r="M49" s="358">
        <v>57.5</v>
      </c>
      <c r="N49" s="358">
        <v>58.96</v>
      </c>
      <c r="O49" s="361">
        <v>40</v>
      </c>
      <c r="P49" s="360">
        <v>200</v>
      </c>
      <c r="Q49" s="362">
        <v>1</v>
      </c>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row>
    <row r="50" spans="1:46" ht="17.7" thickBot="1">
      <c r="E50" s="363" t="s">
        <v>350</v>
      </c>
      <c r="F50" s="364" t="s">
        <v>351</v>
      </c>
      <c r="G50" s="365">
        <v>36.96</v>
      </c>
      <c r="H50" s="365">
        <v>-25.1</v>
      </c>
      <c r="I50" s="364" t="s">
        <v>327</v>
      </c>
      <c r="J50" s="364" t="s">
        <v>327</v>
      </c>
      <c r="K50" s="365">
        <v>5.5</v>
      </c>
      <c r="L50" s="366">
        <v>0.6</v>
      </c>
      <c r="M50" s="364">
        <v>39.44</v>
      </c>
      <c r="N50" s="365">
        <v>40.229999999999997</v>
      </c>
      <c r="O50" s="367">
        <v>40</v>
      </c>
      <c r="P50" s="366">
        <v>200</v>
      </c>
      <c r="Q50" s="368">
        <v>1</v>
      </c>
      <c r="X50" s="353"/>
      <c r="Y50" s="353"/>
      <c r="Z50" s="353"/>
      <c r="AA50" s="353"/>
      <c r="AB50" s="353"/>
      <c r="AC50" s="353"/>
      <c r="AD50" s="353"/>
      <c r="AE50" s="353"/>
      <c r="AF50" s="353"/>
      <c r="AG50" s="353"/>
      <c r="AH50" s="353"/>
      <c r="AI50" s="353"/>
      <c r="AJ50" s="353"/>
      <c r="AK50" s="353"/>
      <c r="AL50" s="353"/>
      <c r="AM50" s="353"/>
      <c r="AN50" s="353"/>
      <c r="AO50" s="353"/>
      <c r="AP50" s="353"/>
      <c r="AQ50" s="353"/>
      <c r="AR50" s="353"/>
      <c r="AS50" s="353"/>
      <c r="AT50" s="353"/>
    </row>
    <row r="51" spans="1:46" ht="17.7" thickTop="1">
      <c r="X51" s="353"/>
      <c r="Y51" s="353"/>
      <c r="Z51" s="353"/>
      <c r="AA51" s="353"/>
      <c r="AB51" s="353"/>
      <c r="AC51" s="353"/>
      <c r="AD51" s="353"/>
      <c r="AE51" s="353"/>
      <c r="AF51" s="353"/>
      <c r="AG51" s="353"/>
      <c r="AH51" s="353"/>
      <c r="AI51" s="353"/>
      <c r="AJ51" s="353"/>
      <c r="AK51" s="353"/>
      <c r="AL51" s="353"/>
      <c r="AM51" s="353"/>
      <c r="AN51" s="353"/>
      <c r="AO51" s="353"/>
      <c r="AP51" s="353"/>
      <c r="AQ51" s="353"/>
      <c r="AR51" s="353"/>
      <c r="AS51" s="353"/>
      <c r="AT51" s="353"/>
    </row>
    <row r="52" spans="1:46" ht="17.399999999999999">
      <c r="A52" s="353"/>
      <c r="B52" s="353"/>
      <c r="C52" s="353"/>
      <c r="D52" s="353"/>
      <c r="E52" s="353"/>
      <c r="F52" s="353"/>
      <c r="G52" s="353"/>
      <c r="H52" s="353"/>
      <c r="I52" s="353"/>
      <c r="J52" s="353"/>
      <c r="K52" s="353"/>
      <c r="L52" s="353"/>
      <c r="M52" s="353"/>
      <c r="N52" s="353"/>
      <c r="O52" s="353"/>
      <c r="P52" s="353"/>
      <c r="Q52" s="353"/>
      <c r="R52" s="353"/>
      <c r="S52" s="353"/>
      <c r="T52" s="353"/>
      <c r="U52" s="353"/>
      <c r="V52" s="353"/>
      <c r="W52" s="353"/>
      <c r="X52" s="353"/>
      <c r="Y52" s="353"/>
      <c r="Z52" s="353"/>
      <c r="AA52" s="353"/>
      <c r="AB52" s="353"/>
      <c r="AC52" s="353"/>
      <c r="AD52" s="353"/>
      <c r="AE52" s="353"/>
      <c r="AF52" s="353"/>
      <c r="AG52" s="353"/>
      <c r="AH52" s="353"/>
      <c r="AI52" s="353"/>
      <c r="AJ52" s="353"/>
      <c r="AK52" s="353"/>
      <c r="AL52" s="353"/>
      <c r="AM52" s="353"/>
      <c r="AN52" s="353"/>
      <c r="AO52" s="353"/>
      <c r="AP52" s="353"/>
      <c r="AQ52" s="353"/>
      <c r="AR52" s="353"/>
      <c r="AS52" s="353"/>
      <c r="AT52" s="353"/>
    </row>
    <row r="53" spans="1:46" ht="17.399999999999999">
      <c r="A53" s="353"/>
      <c r="B53" s="353"/>
      <c r="C53" s="353"/>
      <c r="D53" s="353"/>
      <c r="E53" s="353"/>
      <c r="F53" s="353"/>
      <c r="G53" s="353"/>
      <c r="H53" s="353"/>
      <c r="I53" s="353"/>
      <c r="J53" s="353"/>
      <c r="K53" s="353"/>
      <c r="L53" s="353"/>
      <c r="M53" s="353"/>
      <c r="N53" s="353"/>
      <c r="O53" s="353"/>
      <c r="P53" s="353"/>
      <c r="Q53" s="353"/>
      <c r="R53" s="353"/>
      <c r="S53" s="353"/>
      <c r="T53" s="353"/>
      <c r="U53" s="353"/>
      <c r="V53" s="353"/>
      <c r="W53" s="353"/>
      <c r="X53" s="353"/>
      <c r="Y53" s="353"/>
      <c r="Z53" s="353"/>
      <c r="AA53" s="353"/>
      <c r="AB53" s="353"/>
      <c r="AC53" s="353"/>
      <c r="AD53" s="353"/>
      <c r="AE53" s="353"/>
      <c r="AF53" s="353"/>
      <c r="AG53" s="353"/>
      <c r="AH53" s="353"/>
      <c r="AI53" s="353"/>
      <c r="AJ53" s="353"/>
      <c r="AK53" s="353"/>
      <c r="AL53" s="353"/>
      <c r="AM53" s="353"/>
      <c r="AN53" s="353"/>
      <c r="AO53" s="353"/>
      <c r="AP53" s="353"/>
      <c r="AQ53" s="353"/>
      <c r="AR53" s="353"/>
      <c r="AS53" s="353"/>
      <c r="AT53" s="353"/>
    </row>
    <row r="54" spans="1:46" ht="17.399999999999999">
      <c r="A54" s="353"/>
      <c r="B54" s="353"/>
      <c r="C54" s="353"/>
      <c r="D54" s="353"/>
      <c r="E54" s="353"/>
      <c r="F54" s="353"/>
      <c r="G54" s="353"/>
      <c r="H54" s="353"/>
      <c r="I54" s="353"/>
      <c r="J54" s="353"/>
      <c r="K54" s="353"/>
      <c r="L54" s="353"/>
      <c r="M54" s="353"/>
      <c r="N54" s="353"/>
      <c r="O54" s="353"/>
      <c r="P54" s="353"/>
      <c r="Q54" s="353"/>
      <c r="R54" s="353"/>
      <c r="S54" s="353"/>
      <c r="T54" s="353"/>
      <c r="U54" s="353"/>
      <c r="V54" s="353"/>
      <c r="W54" s="353"/>
      <c r="X54" s="353"/>
      <c r="Y54" s="353"/>
      <c r="Z54" s="353"/>
      <c r="AA54" s="353"/>
      <c r="AB54" s="353"/>
      <c r="AC54" s="353"/>
      <c r="AD54" s="353"/>
      <c r="AE54" s="353"/>
      <c r="AF54" s="353"/>
      <c r="AG54" s="353"/>
      <c r="AH54" s="353"/>
      <c r="AI54" s="353"/>
      <c r="AJ54" s="353"/>
      <c r="AK54" s="353"/>
      <c r="AL54" s="353"/>
      <c r="AM54" s="353"/>
      <c r="AN54" s="353"/>
      <c r="AO54" s="353"/>
      <c r="AP54" s="353"/>
      <c r="AQ54" s="353"/>
      <c r="AR54" s="353"/>
      <c r="AS54" s="353"/>
      <c r="AT54" s="353"/>
    </row>
    <row r="55" spans="1:46" ht="17.399999999999999">
      <c r="A55" s="353"/>
      <c r="B55" s="353"/>
      <c r="C55" s="353"/>
      <c r="D55" s="353"/>
      <c r="E55" s="353"/>
      <c r="F55" s="353"/>
      <c r="G55" s="353"/>
      <c r="H55" s="353"/>
      <c r="I55" s="353"/>
      <c r="J55" s="353"/>
      <c r="K55" s="353"/>
      <c r="L55" s="353"/>
      <c r="M55" s="353"/>
      <c r="N55" s="353"/>
      <c r="O55" s="353"/>
      <c r="P55" s="353"/>
      <c r="Q55" s="353"/>
      <c r="R55" s="353"/>
      <c r="S55" s="353"/>
      <c r="T55" s="353"/>
      <c r="U55" s="353"/>
      <c r="V55" s="353"/>
      <c r="W55" s="353"/>
      <c r="X55" s="353"/>
      <c r="Y55" s="353"/>
      <c r="Z55" s="353"/>
      <c r="AA55" s="353"/>
      <c r="AB55" s="353"/>
      <c r="AC55" s="353"/>
      <c r="AD55" s="353"/>
      <c r="AE55" s="353"/>
      <c r="AF55" s="353"/>
      <c r="AG55" s="353"/>
      <c r="AH55" s="353"/>
      <c r="AI55" s="353"/>
      <c r="AJ55" s="353"/>
      <c r="AK55" s="353"/>
      <c r="AL55" s="353"/>
      <c r="AM55" s="353"/>
      <c r="AN55" s="353"/>
      <c r="AO55" s="353"/>
      <c r="AP55" s="353"/>
      <c r="AQ55" s="353"/>
      <c r="AR55" s="353"/>
      <c r="AS55" s="353"/>
      <c r="AT55" s="353"/>
    </row>
    <row r="56" spans="1:46" ht="17.399999999999999">
      <c r="A56" s="353"/>
      <c r="B56" s="353"/>
      <c r="C56" s="353"/>
      <c r="D56" s="353"/>
      <c r="E56" s="353"/>
      <c r="F56" s="353"/>
      <c r="G56" s="353"/>
      <c r="H56" s="353"/>
      <c r="I56" s="353"/>
      <c r="J56" s="353"/>
      <c r="K56" s="353"/>
      <c r="L56" s="353"/>
      <c r="M56" s="353"/>
      <c r="N56" s="353"/>
      <c r="O56" s="353"/>
      <c r="P56" s="353"/>
      <c r="Q56" s="353"/>
      <c r="R56" s="353"/>
      <c r="S56" s="353"/>
      <c r="T56" s="353"/>
      <c r="U56" s="353"/>
      <c r="V56" s="353"/>
      <c r="W56" s="353"/>
      <c r="X56" s="353"/>
      <c r="Y56" s="353"/>
      <c r="Z56" s="353"/>
      <c r="AA56" s="353"/>
      <c r="AB56" s="353"/>
      <c r="AC56" s="353"/>
      <c r="AD56" s="353"/>
      <c r="AE56" s="353"/>
      <c r="AF56" s="353"/>
      <c r="AG56" s="353"/>
      <c r="AH56" s="353"/>
      <c r="AI56" s="353"/>
      <c r="AJ56" s="353"/>
      <c r="AK56" s="353"/>
      <c r="AL56" s="353"/>
      <c r="AM56" s="353"/>
      <c r="AN56" s="353"/>
      <c r="AO56" s="353"/>
      <c r="AP56" s="353"/>
      <c r="AQ56" s="353"/>
      <c r="AR56" s="353"/>
      <c r="AS56" s="353"/>
      <c r="AT56" s="353"/>
    </row>
    <row r="57" spans="1:46" ht="17.399999999999999">
      <c r="A57" s="353"/>
      <c r="B57" s="353"/>
      <c r="C57" s="353"/>
      <c r="D57" s="353"/>
      <c r="E57" s="353"/>
      <c r="F57" s="353"/>
      <c r="G57" s="353"/>
      <c r="H57" s="353"/>
      <c r="I57" s="353"/>
      <c r="J57" s="353"/>
      <c r="K57" s="353"/>
      <c r="L57" s="353"/>
      <c r="M57" s="353"/>
      <c r="N57" s="353"/>
      <c r="O57" s="353"/>
      <c r="P57" s="353"/>
      <c r="Q57" s="353"/>
      <c r="R57" s="353"/>
      <c r="S57" s="353"/>
      <c r="T57" s="353"/>
      <c r="U57" s="353"/>
      <c r="V57" s="353"/>
      <c r="W57" s="353"/>
      <c r="X57" s="353"/>
      <c r="Y57" s="353"/>
      <c r="Z57" s="353"/>
      <c r="AA57" s="353"/>
      <c r="AB57" s="353"/>
      <c r="AC57" s="353"/>
      <c r="AD57" s="353"/>
      <c r="AE57" s="353"/>
      <c r="AF57" s="353"/>
      <c r="AG57" s="353"/>
      <c r="AH57" s="353"/>
      <c r="AI57" s="353"/>
      <c r="AJ57" s="353"/>
      <c r="AK57" s="353"/>
      <c r="AL57" s="353"/>
      <c r="AM57" s="353"/>
      <c r="AN57" s="353"/>
      <c r="AO57" s="353"/>
      <c r="AP57" s="353"/>
      <c r="AQ57" s="353"/>
      <c r="AR57" s="353"/>
      <c r="AS57" s="353"/>
      <c r="AT57" s="353"/>
    </row>
    <row r="58" spans="1:46" ht="17.399999999999999">
      <c r="A58" s="353"/>
      <c r="B58" s="353"/>
      <c r="C58" s="353"/>
      <c r="D58" s="353"/>
      <c r="E58" s="353"/>
      <c r="F58" s="353"/>
      <c r="G58" s="353"/>
      <c r="H58" s="353"/>
      <c r="I58" s="353"/>
      <c r="J58" s="353"/>
      <c r="K58" s="353"/>
      <c r="L58" s="353"/>
      <c r="M58" s="353"/>
      <c r="N58" s="353"/>
      <c r="O58" s="353"/>
      <c r="P58" s="353"/>
      <c r="Q58" s="353"/>
      <c r="R58" s="353"/>
      <c r="S58" s="353"/>
      <c r="T58" s="353"/>
      <c r="U58" s="353"/>
      <c r="V58" s="353"/>
      <c r="W58" s="353"/>
      <c r="X58" s="353"/>
      <c r="Y58" s="353"/>
      <c r="Z58" s="353"/>
      <c r="AA58" s="353"/>
      <c r="AB58" s="353"/>
      <c r="AC58" s="353"/>
      <c r="AD58" s="353"/>
      <c r="AE58" s="353"/>
      <c r="AF58" s="353"/>
      <c r="AG58" s="353"/>
      <c r="AH58" s="353"/>
      <c r="AI58" s="353"/>
      <c r="AJ58" s="353"/>
      <c r="AK58" s="353"/>
      <c r="AL58" s="353"/>
      <c r="AM58" s="353"/>
      <c r="AN58" s="353"/>
      <c r="AO58" s="353"/>
      <c r="AP58" s="353"/>
      <c r="AQ58" s="353"/>
      <c r="AR58" s="353"/>
      <c r="AS58" s="353"/>
      <c r="AT58" s="353"/>
    </row>
    <row r="59" spans="1:46" ht="17.399999999999999">
      <c r="A59" s="353"/>
      <c r="B59" s="353"/>
      <c r="C59" s="353"/>
      <c r="D59" s="353"/>
      <c r="E59" s="353"/>
      <c r="F59" s="353"/>
      <c r="G59" s="353"/>
      <c r="H59" s="353"/>
      <c r="I59" s="353"/>
      <c r="J59" s="353"/>
      <c r="K59" s="353"/>
      <c r="L59" s="353"/>
      <c r="M59" s="353"/>
      <c r="N59" s="353"/>
      <c r="O59" s="353"/>
      <c r="P59" s="353"/>
      <c r="Q59" s="353"/>
      <c r="R59" s="353"/>
      <c r="S59" s="353"/>
      <c r="T59" s="353"/>
      <c r="U59" s="353"/>
      <c r="V59" s="353"/>
      <c r="W59" s="353"/>
      <c r="X59" s="353"/>
      <c r="Y59" s="353"/>
      <c r="Z59" s="353"/>
      <c r="AA59" s="353"/>
      <c r="AB59" s="353"/>
      <c r="AC59" s="353"/>
      <c r="AD59" s="353"/>
      <c r="AE59" s="353"/>
      <c r="AF59" s="353"/>
      <c r="AG59" s="353"/>
      <c r="AH59" s="353"/>
      <c r="AI59" s="353"/>
      <c r="AJ59" s="353"/>
      <c r="AK59" s="353"/>
      <c r="AL59" s="353"/>
      <c r="AM59" s="353"/>
      <c r="AN59" s="353"/>
      <c r="AO59" s="353"/>
      <c r="AP59" s="353"/>
      <c r="AQ59" s="353"/>
      <c r="AR59" s="353"/>
      <c r="AS59" s="353"/>
      <c r="AT59" s="353"/>
    </row>
    <row r="60" spans="1:46" ht="17.399999999999999">
      <c r="A60" s="353"/>
      <c r="B60" s="353"/>
      <c r="C60" s="353"/>
      <c r="D60" s="353"/>
      <c r="E60" s="353"/>
      <c r="F60" s="353"/>
      <c r="G60" s="353"/>
      <c r="H60" s="353"/>
      <c r="I60" s="353"/>
      <c r="J60" s="353"/>
      <c r="K60" s="353"/>
      <c r="L60" s="353"/>
      <c r="M60" s="353"/>
      <c r="N60" s="353"/>
      <c r="O60" s="353"/>
      <c r="P60" s="353"/>
      <c r="Q60" s="353"/>
      <c r="R60" s="353"/>
      <c r="S60" s="353"/>
      <c r="T60" s="353"/>
      <c r="U60" s="353"/>
      <c r="V60" s="353"/>
      <c r="W60" s="353"/>
      <c r="X60" s="353"/>
      <c r="Y60" s="353"/>
      <c r="Z60" s="353"/>
      <c r="AA60" s="353"/>
      <c r="AB60" s="353"/>
      <c r="AC60" s="353"/>
      <c r="AD60" s="353"/>
      <c r="AE60" s="353"/>
      <c r="AF60" s="353"/>
      <c r="AG60" s="353"/>
      <c r="AH60" s="353"/>
      <c r="AI60" s="353"/>
      <c r="AJ60" s="353"/>
      <c r="AK60" s="353"/>
      <c r="AL60" s="353"/>
      <c r="AM60" s="353"/>
      <c r="AN60" s="353"/>
      <c r="AO60" s="353"/>
      <c r="AP60" s="353"/>
      <c r="AQ60" s="353"/>
      <c r="AR60" s="353"/>
      <c r="AS60" s="353"/>
      <c r="AT60" s="353"/>
    </row>
    <row r="61" spans="1:46" ht="17.399999999999999">
      <c r="A61" s="353"/>
      <c r="B61" s="353"/>
      <c r="C61" s="353"/>
      <c r="D61" s="353"/>
      <c r="E61" s="353"/>
      <c r="F61" s="353"/>
      <c r="G61" s="353"/>
      <c r="H61" s="353"/>
      <c r="I61" s="353"/>
      <c r="J61" s="353"/>
      <c r="K61" s="353"/>
      <c r="L61" s="353"/>
      <c r="M61" s="353"/>
      <c r="N61" s="353"/>
      <c r="O61" s="353"/>
      <c r="P61" s="353"/>
      <c r="Q61" s="353"/>
      <c r="R61" s="353"/>
      <c r="S61" s="353"/>
      <c r="T61" s="353"/>
      <c r="U61" s="353"/>
      <c r="V61" s="353"/>
      <c r="W61" s="353"/>
      <c r="X61" s="353"/>
      <c r="Y61" s="353"/>
      <c r="Z61" s="353"/>
      <c r="AA61" s="353"/>
      <c r="AB61" s="353"/>
      <c r="AC61" s="353"/>
      <c r="AD61" s="353"/>
      <c r="AE61" s="353"/>
      <c r="AF61" s="353"/>
      <c r="AG61" s="353"/>
      <c r="AH61" s="353"/>
      <c r="AI61" s="353"/>
      <c r="AJ61" s="353"/>
      <c r="AK61" s="353"/>
      <c r="AL61" s="353"/>
      <c r="AM61" s="353"/>
      <c r="AN61" s="353"/>
      <c r="AO61" s="353"/>
      <c r="AP61" s="353"/>
      <c r="AQ61" s="353"/>
      <c r="AR61" s="353"/>
      <c r="AS61" s="353"/>
      <c r="AT61" s="353"/>
    </row>
    <row r="62" spans="1:46" ht="17.399999999999999">
      <c r="A62" s="353"/>
      <c r="B62" s="353"/>
      <c r="C62" s="353"/>
      <c r="D62" s="353"/>
      <c r="E62" s="353"/>
      <c r="F62" s="353"/>
      <c r="G62" s="353"/>
      <c r="H62" s="353"/>
      <c r="I62" s="353"/>
      <c r="J62" s="353"/>
      <c r="K62" s="353"/>
      <c r="L62" s="353"/>
      <c r="M62" s="353"/>
      <c r="N62" s="353"/>
      <c r="O62" s="353"/>
      <c r="P62" s="353"/>
      <c r="Q62" s="353"/>
      <c r="R62" s="353"/>
      <c r="S62" s="353"/>
      <c r="T62" s="353"/>
      <c r="U62" s="353"/>
      <c r="V62" s="353"/>
      <c r="W62" s="353"/>
      <c r="X62" s="353"/>
      <c r="Y62" s="353"/>
      <c r="Z62" s="353"/>
      <c r="AA62" s="353"/>
      <c r="AB62" s="353"/>
      <c r="AC62" s="353"/>
      <c r="AD62" s="353"/>
      <c r="AE62" s="353"/>
      <c r="AF62" s="353"/>
      <c r="AG62" s="353"/>
      <c r="AH62" s="353"/>
      <c r="AI62" s="353"/>
      <c r="AJ62" s="353"/>
      <c r="AK62" s="353"/>
      <c r="AL62" s="353"/>
      <c r="AM62" s="353"/>
      <c r="AN62" s="353"/>
      <c r="AO62" s="353"/>
      <c r="AP62" s="353"/>
      <c r="AQ62" s="353"/>
      <c r="AR62" s="353"/>
      <c r="AS62" s="353"/>
      <c r="AT62" s="353"/>
    </row>
    <row r="63" spans="1:46" ht="17.399999999999999">
      <c r="A63" s="353"/>
      <c r="B63" s="353"/>
      <c r="C63" s="353"/>
      <c r="D63" s="353"/>
      <c r="E63" s="353"/>
      <c r="F63" s="353"/>
      <c r="G63" s="353"/>
      <c r="H63" s="353"/>
      <c r="I63" s="353"/>
      <c r="J63" s="353"/>
      <c r="K63" s="353"/>
      <c r="L63" s="353"/>
      <c r="M63" s="353"/>
      <c r="N63" s="353"/>
      <c r="O63" s="353"/>
      <c r="P63" s="353"/>
      <c r="Q63" s="353"/>
      <c r="R63" s="353"/>
      <c r="S63" s="353"/>
      <c r="T63" s="353"/>
      <c r="U63" s="353"/>
      <c r="V63" s="353"/>
      <c r="W63" s="353"/>
      <c r="X63" s="353"/>
      <c r="Y63" s="353"/>
      <c r="Z63" s="353"/>
      <c r="AA63" s="353"/>
      <c r="AB63" s="353"/>
      <c r="AC63" s="353"/>
      <c r="AD63" s="353"/>
      <c r="AE63" s="353"/>
      <c r="AF63" s="353"/>
      <c r="AG63" s="353"/>
      <c r="AH63" s="353"/>
      <c r="AI63" s="353"/>
      <c r="AJ63" s="353"/>
      <c r="AK63" s="353"/>
      <c r="AL63" s="353"/>
      <c r="AM63" s="353"/>
      <c r="AN63" s="353"/>
      <c r="AO63" s="353"/>
      <c r="AP63" s="353"/>
      <c r="AQ63" s="353"/>
      <c r="AR63" s="353"/>
      <c r="AS63" s="353"/>
      <c r="AT63" s="353"/>
    </row>
    <row r="64" spans="1:46" ht="17.399999999999999">
      <c r="A64" s="353"/>
      <c r="B64" s="353"/>
      <c r="C64" s="353"/>
      <c r="D64" s="353"/>
      <c r="E64" s="353"/>
      <c r="F64" s="353"/>
      <c r="G64" s="353"/>
      <c r="H64" s="353"/>
      <c r="I64" s="353"/>
      <c r="J64" s="353"/>
      <c r="K64" s="353"/>
      <c r="L64" s="353"/>
      <c r="M64" s="353"/>
      <c r="N64" s="353"/>
      <c r="O64" s="353"/>
      <c r="P64" s="353"/>
      <c r="Q64" s="353"/>
      <c r="R64" s="353"/>
      <c r="S64" s="353"/>
      <c r="T64" s="353"/>
      <c r="U64" s="353"/>
      <c r="V64" s="353"/>
      <c r="W64" s="353"/>
      <c r="X64" s="353"/>
      <c r="Y64" s="353"/>
      <c r="Z64" s="353"/>
      <c r="AA64" s="353"/>
      <c r="AB64" s="353"/>
      <c r="AC64" s="353"/>
      <c r="AD64" s="353"/>
      <c r="AE64" s="353"/>
      <c r="AF64" s="353"/>
      <c r="AG64" s="353"/>
      <c r="AH64" s="353"/>
      <c r="AI64" s="353"/>
      <c r="AJ64" s="353"/>
      <c r="AK64" s="353"/>
      <c r="AL64" s="353"/>
      <c r="AM64" s="353"/>
      <c r="AN64" s="353"/>
      <c r="AO64" s="353"/>
      <c r="AP64" s="353"/>
      <c r="AQ64" s="353"/>
      <c r="AR64" s="353"/>
      <c r="AS64" s="353"/>
      <c r="AT64" s="353"/>
    </row>
    <row r="65" spans="1:46" ht="17.399999999999999">
      <c r="A65" s="353"/>
      <c r="B65" s="353"/>
      <c r="C65" s="353"/>
      <c r="D65" s="353"/>
      <c r="E65" s="353"/>
      <c r="F65" s="353"/>
      <c r="G65" s="353"/>
      <c r="H65" s="353"/>
      <c r="I65" s="353"/>
      <c r="J65" s="353"/>
      <c r="K65" s="353"/>
      <c r="L65" s="353"/>
      <c r="M65" s="353"/>
      <c r="N65" s="353"/>
      <c r="O65" s="353"/>
      <c r="P65" s="353"/>
      <c r="Q65" s="353"/>
      <c r="R65" s="353"/>
      <c r="S65" s="353"/>
      <c r="T65" s="353"/>
      <c r="U65" s="353"/>
      <c r="V65" s="353"/>
      <c r="W65" s="353"/>
      <c r="X65" s="353"/>
      <c r="Y65" s="353"/>
      <c r="Z65" s="353"/>
      <c r="AA65" s="353"/>
      <c r="AB65" s="353"/>
      <c r="AC65" s="353"/>
      <c r="AD65" s="353"/>
      <c r="AE65" s="353"/>
      <c r="AF65" s="353"/>
      <c r="AG65" s="353"/>
      <c r="AH65" s="353"/>
      <c r="AI65" s="353"/>
      <c r="AJ65" s="353"/>
      <c r="AK65" s="353"/>
      <c r="AL65" s="353"/>
      <c r="AM65" s="353"/>
      <c r="AN65" s="353"/>
      <c r="AO65" s="353"/>
      <c r="AP65" s="353"/>
      <c r="AQ65" s="353"/>
      <c r="AR65" s="353"/>
      <c r="AS65" s="353"/>
      <c r="AT65" s="353"/>
    </row>
    <row r="66" spans="1:46" ht="17.399999999999999">
      <c r="A66" s="353"/>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53"/>
      <c r="AT66" s="353"/>
    </row>
    <row r="67" spans="1:46" ht="17.399999999999999">
      <c r="A67" s="353"/>
      <c r="B67" s="353"/>
      <c r="C67" s="353"/>
      <c r="D67" s="353"/>
      <c r="E67" s="353"/>
      <c r="F67" s="353"/>
      <c r="G67" s="353"/>
      <c r="H67" s="353"/>
      <c r="I67" s="353"/>
      <c r="J67" s="353"/>
      <c r="K67" s="353"/>
      <c r="L67" s="353"/>
      <c r="M67" s="353"/>
      <c r="N67" s="353"/>
      <c r="O67" s="353"/>
      <c r="P67" s="353"/>
      <c r="Q67" s="353"/>
      <c r="R67" s="353"/>
      <c r="S67" s="353"/>
      <c r="T67" s="353"/>
      <c r="U67" s="353"/>
      <c r="V67" s="353"/>
      <c r="W67" s="353"/>
      <c r="X67" s="353"/>
      <c r="Y67" s="353"/>
      <c r="Z67" s="353"/>
      <c r="AA67" s="353"/>
      <c r="AB67" s="353"/>
      <c r="AC67" s="353"/>
      <c r="AD67" s="353"/>
      <c r="AE67" s="353"/>
      <c r="AF67" s="353"/>
      <c r="AG67" s="353"/>
      <c r="AH67" s="353"/>
      <c r="AI67" s="353"/>
      <c r="AJ67" s="353"/>
      <c r="AK67" s="353"/>
      <c r="AL67" s="353"/>
      <c r="AM67" s="353"/>
      <c r="AN67" s="353"/>
      <c r="AO67" s="353"/>
      <c r="AP67" s="353"/>
      <c r="AQ67" s="353"/>
      <c r="AR67" s="353"/>
      <c r="AS67" s="353"/>
      <c r="AT67" s="353"/>
    </row>
    <row r="68" spans="1:46" ht="17.399999999999999">
      <c r="A68" s="353"/>
      <c r="B68" s="353"/>
      <c r="C68" s="353"/>
      <c r="D68" s="353"/>
      <c r="E68" s="353"/>
      <c r="F68" s="353"/>
      <c r="G68" s="353"/>
      <c r="H68" s="353"/>
      <c r="I68" s="353"/>
      <c r="J68" s="353"/>
      <c r="K68" s="353"/>
      <c r="L68" s="353"/>
      <c r="M68" s="353"/>
      <c r="N68" s="353"/>
      <c r="O68" s="353"/>
      <c r="P68" s="353"/>
      <c r="Q68" s="353"/>
      <c r="R68" s="353"/>
      <c r="S68" s="353"/>
      <c r="T68" s="353"/>
      <c r="U68" s="353"/>
      <c r="V68" s="353"/>
      <c r="W68" s="353"/>
      <c r="X68" s="353"/>
      <c r="Y68" s="353"/>
      <c r="Z68" s="353"/>
      <c r="AA68" s="353"/>
      <c r="AB68" s="353"/>
      <c r="AC68" s="353"/>
      <c r="AD68" s="353"/>
      <c r="AE68" s="353"/>
      <c r="AF68" s="353"/>
      <c r="AG68" s="353"/>
      <c r="AH68" s="353"/>
      <c r="AI68" s="353"/>
      <c r="AJ68" s="353"/>
      <c r="AK68" s="353"/>
      <c r="AL68" s="353"/>
      <c r="AM68" s="353"/>
      <c r="AN68" s="353"/>
      <c r="AO68" s="353"/>
      <c r="AP68" s="353"/>
      <c r="AQ68" s="353"/>
      <c r="AR68" s="353"/>
      <c r="AS68" s="353"/>
      <c r="AT68" s="353"/>
    </row>
    <row r="69" spans="1:46" ht="17.399999999999999">
      <c r="A69" s="353"/>
      <c r="B69" s="353"/>
      <c r="C69" s="353"/>
      <c r="D69" s="353"/>
      <c r="E69" s="353"/>
      <c r="F69" s="353"/>
      <c r="G69" s="353"/>
      <c r="H69" s="353"/>
      <c r="I69" s="353"/>
      <c r="J69" s="353"/>
      <c r="K69" s="353"/>
      <c r="L69" s="353"/>
      <c r="M69" s="353"/>
      <c r="N69" s="353"/>
      <c r="O69" s="353"/>
      <c r="P69" s="353"/>
      <c r="Q69" s="353"/>
      <c r="R69" s="353"/>
      <c r="S69" s="353"/>
      <c r="T69" s="353"/>
      <c r="U69" s="353"/>
      <c r="V69" s="353"/>
      <c r="W69" s="353"/>
      <c r="X69" s="353"/>
      <c r="Y69" s="353"/>
      <c r="Z69" s="353"/>
      <c r="AA69" s="353"/>
      <c r="AB69" s="353"/>
      <c r="AC69" s="353"/>
      <c r="AD69" s="353"/>
      <c r="AE69" s="353"/>
      <c r="AF69" s="353"/>
      <c r="AG69" s="353"/>
      <c r="AH69" s="353"/>
      <c r="AI69" s="353"/>
      <c r="AJ69" s="353"/>
      <c r="AK69" s="353"/>
      <c r="AL69" s="353"/>
      <c r="AM69" s="353"/>
      <c r="AN69" s="353"/>
      <c r="AO69" s="353"/>
      <c r="AP69" s="353"/>
      <c r="AQ69" s="353"/>
      <c r="AR69" s="353"/>
      <c r="AS69" s="353"/>
      <c r="AT69" s="353"/>
    </row>
    <row r="70" spans="1:46" ht="17.399999999999999">
      <c r="A70" s="353"/>
      <c r="B70" s="353"/>
      <c r="C70" s="353"/>
      <c r="D70" s="353"/>
      <c r="E70" s="353"/>
      <c r="F70" s="353"/>
      <c r="G70" s="353"/>
      <c r="H70" s="353"/>
      <c r="I70" s="353"/>
      <c r="J70" s="353"/>
      <c r="K70" s="353"/>
      <c r="L70" s="353"/>
      <c r="M70" s="353"/>
      <c r="N70" s="353"/>
      <c r="O70" s="353"/>
      <c r="P70" s="353"/>
      <c r="Q70" s="353"/>
      <c r="R70" s="353"/>
      <c r="S70" s="353"/>
      <c r="T70" s="353"/>
      <c r="U70" s="353"/>
      <c r="V70" s="353"/>
      <c r="W70" s="353"/>
      <c r="X70" s="353"/>
      <c r="Y70" s="353"/>
      <c r="Z70" s="353"/>
      <c r="AA70" s="353"/>
      <c r="AB70" s="353"/>
      <c r="AC70" s="353"/>
      <c r="AD70" s="353"/>
      <c r="AE70" s="353"/>
      <c r="AF70" s="353"/>
      <c r="AG70" s="353"/>
      <c r="AH70" s="353"/>
      <c r="AI70" s="353"/>
      <c r="AJ70" s="353"/>
      <c r="AK70" s="353"/>
      <c r="AL70" s="353"/>
      <c r="AM70" s="353"/>
      <c r="AN70" s="353"/>
      <c r="AO70" s="353"/>
      <c r="AP70" s="353"/>
      <c r="AQ70" s="353"/>
      <c r="AR70" s="353"/>
      <c r="AS70" s="353"/>
      <c r="AT70" s="353"/>
    </row>
    <row r="71" spans="1:46" ht="17.399999999999999">
      <c r="A71" s="353"/>
      <c r="B71" s="353"/>
      <c r="C71" s="353"/>
      <c r="D71" s="353"/>
      <c r="E71" s="353"/>
      <c r="F71" s="353"/>
      <c r="G71" s="353"/>
      <c r="H71" s="353"/>
      <c r="I71" s="353"/>
      <c r="J71" s="353"/>
      <c r="K71" s="353"/>
      <c r="L71" s="353"/>
      <c r="M71" s="353"/>
      <c r="N71" s="353"/>
      <c r="O71" s="353"/>
      <c r="P71" s="353"/>
      <c r="Q71" s="353"/>
      <c r="R71" s="353"/>
      <c r="S71" s="353"/>
      <c r="T71" s="353"/>
      <c r="U71" s="353"/>
      <c r="V71" s="353"/>
      <c r="W71" s="353"/>
      <c r="X71" s="353"/>
      <c r="Y71" s="353"/>
      <c r="Z71" s="353"/>
      <c r="AA71" s="353"/>
      <c r="AB71" s="353"/>
      <c r="AC71" s="353"/>
      <c r="AD71" s="353"/>
      <c r="AE71" s="353"/>
      <c r="AF71" s="353"/>
      <c r="AG71" s="353"/>
      <c r="AH71" s="353"/>
      <c r="AI71" s="353"/>
      <c r="AJ71" s="353"/>
      <c r="AK71" s="353"/>
      <c r="AL71" s="353"/>
      <c r="AM71" s="353"/>
      <c r="AN71" s="353"/>
      <c r="AO71" s="353"/>
      <c r="AP71" s="353"/>
      <c r="AQ71" s="353"/>
      <c r="AR71" s="353"/>
      <c r="AS71" s="353"/>
      <c r="AT71" s="353"/>
    </row>
    <row r="72" spans="1:46" ht="17.399999999999999">
      <c r="A72" s="353"/>
      <c r="B72" s="353"/>
      <c r="C72" s="353"/>
      <c r="D72" s="353"/>
      <c r="E72" s="353"/>
      <c r="F72" s="353"/>
      <c r="G72" s="353"/>
      <c r="H72" s="353"/>
      <c r="I72" s="353"/>
      <c r="J72" s="353"/>
      <c r="K72" s="353"/>
      <c r="L72" s="353"/>
      <c r="M72" s="353"/>
      <c r="N72" s="353"/>
      <c r="O72" s="353"/>
      <c r="P72" s="353"/>
      <c r="Q72" s="353"/>
      <c r="R72" s="353"/>
      <c r="S72" s="353"/>
      <c r="T72" s="353"/>
      <c r="U72" s="353"/>
      <c r="V72" s="353"/>
      <c r="W72" s="353"/>
      <c r="X72" s="353"/>
      <c r="Y72" s="353"/>
      <c r="Z72" s="353"/>
      <c r="AA72" s="353"/>
      <c r="AB72" s="353"/>
      <c r="AC72" s="353"/>
      <c r="AD72" s="353"/>
      <c r="AE72" s="353"/>
      <c r="AF72" s="353"/>
      <c r="AG72" s="353"/>
      <c r="AH72" s="353"/>
      <c r="AI72" s="353"/>
      <c r="AJ72" s="353"/>
      <c r="AK72" s="353"/>
      <c r="AL72" s="353"/>
      <c r="AM72" s="353"/>
      <c r="AN72" s="353"/>
      <c r="AO72" s="353"/>
      <c r="AP72" s="353"/>
      <c r="AQ72" s="353"/>
      <c r="AR72" s="353"/>
      <c r="AS72" s="353"/>
      <c r="AT72" s="353"/>
    </row>
    <row r="73" spans="1:46" ht="17.399999999999999">
      <c r="A73" s="353"/>
      <c r="B73" s="353"/>
      <c r="C73" s="353"/>
      <c r="D73" s="353"/>
      <c r="E73" s="353"/>
      <c r="F73" s="353"/>
      <c r="G73" s="353"/>
      <c r="H73" s="353"/>
      <c r="I73" s="353"/>
      <c r="J73" s="353"/>
      <c r="K73" s="353"/>
      <c r="L73" s="353"/>
      <c r="M73" s="353"/>
      <c r="N73" s="353"/>
      <c r="O73" s="353"/>
      <c r="P73" s="353"/>
      <c r="Q73" s="353"/>
      <c r="R73" s="353"/>
      <c r="S73" s="353"/>
      <c r="T73" s="353"/>
      <c r="U73" s="353"/>
      <c r="V73" s="353"/>
      <c r="W73" s="353"/>
      <c r="X73" s="353"/>
      <c r="Y73" s="353"/>
      <c r="Z73" s="353"/>
      <c r="AA73" s="353"/>
      <c r="AB73" s="353"/>
      <c r="AC73" s="353"/>
      <c r="AD73" s="353"/>
      <c r="AE73" s="353"/>
      <c r="AF73" s="353"/>
      <c r="AG73" s="353"/>
      <c r="AH73" s="353"/>
      <c r="AI73" s="353"/>
      <c r="AJ73" s="353"/>
      <c r="AK73" s="353"/>
      <c r="AL73" s="353"/>
      <c r="AM73" s="353"/>
      <c r="AN73" s="353"/>
      <c r="AO73" s="353"/>
      <c r="AP73" s="353"/>
      <c r="AQ73" s="353"/>
      <c r="AR73" s="353"/>
      <c r="AS73" s="353"/>
      <c r="AT73" s="353"/>
    </row>
    <row r="74" spans="1:46" ht="17.399999999999999">
      <c r="A74" s="353"/>
      <c r="B74" s="353"/>
      <c r="C74" s="353"/>
      <c r="D74" s="353"/>
      <c r="E74" s="353"/>
      <c r="F74" s="353"/>
      <c r="G74" s="353"/>
      <c r="H74" s="353"/>
      <c r="I74" s="353"/>
      <c r="J74" s="353"/>
      <c r="K74" s="353"/>
      <c r="L74" s="353"/>
      <c r="M74" s="353"/>
      <c r="N74" s="353"/>
      <c r="O74" s="353"/>
      <c r="P74" s="353"/>
      <c r="Q74" s="353"/>
      <c r="R74" s="353"/>
      <c r="S74" s="353"/>
      <c r="T74" s="353"/>
      <c r="U74" s="353"/>
      <c r="V74" s="353"/>
      <c r="W74" s="353"/>
      <c r="X74" s="353"/>
      <c r="Y74" s="353"/>
      <c r="Z74" s="353"/>
      <c r="AA74" s="353"/>
      <c r="AB74" s="353"/>
      <c r="AC74" s="353"/>
      <c r="AD74" s="353"/>
      <c r="AE74" s="353"/>
      <c r="AF74" s="353"/>
      <c r="AG74" s="353"/>
      <c r="AH74" s="353"/>
      <c r="AI74" s="353"/>
      <c r="AJ74" s="353"/>
      <c r="AK74" s="353"/>
      <c r="AL74" s="353"/>
      <c r="AM74" s="353"/>
      <c r="AN74" s="353"/>
      <c r="AO74" s="353"/>
      <c r="AP74" s="353"/>
      <c r="AQ74" s="353"/>
      <c r="AR74" s="353"/>
      <c r="AS74" s="353"/>
      <c r="AT74" s="353"/>
    </row>
    <row r="75" spans="1:46" ht="17.399999999999999">
      <c r="A75" s="353"/>
      <c r="B75" s="353"/>
      <c r="C75" s="353"/>
      <c r="D75" s="353"/>
      <c r="E75" s="353"/>
      <c r="F75" s="353"/>
      <c r="G75" s="353"/>
      <c r="H75" s="353"/>
      <c r="I75" s="353"/>
      <c r="J75" s="353"/>
      <c r="K75" s="353"/>
      <c r="L75" s="353"/>
      <c r="M75" s="353"/>
      <c r="N75" s="353"/>
      <c r="O75" s="353"/>
      <c r="P75" s="353"/>
      <c r="Q75" s="353"/>
      <c r="R75" s="353"/>
      <c r="S75" s="353"/>
      <c r="T75" s="353"/>
      <c r="U75" s="353"/>
      <c r="V75" s="353"/>
      <c r="W75" s="353"/>
      <c r="X75" s="353"/>
      <c r="Y75" s="353"/>
      <c r="Z75" s="353"/>
      <c r="AA75" s="353"/>
      <c r="AB75" s="353"/>
      <c r="AC75" s="353"/>
      <c r="AD75" s="353"/>
      <c r="AE75" s="353"/>
      <c r="AF75" s="353"/>
      <c r="AG75" s="353"/>
      <c r="AH75" s="353"/>
      <c r="AI75" s="353"/>
      <c r="AJ75" s="353"/>
      <c r="AK75" s="353"/>
      <c r="AL75" s="353"/>
      <c r="AM75" s="353"/>
      <c r="AN75" s="353"/>
      <c r="AO75" s="353"/>
      <c r="AP75" s="353"/>
      <c r="AQ75" s="353"/>
      <c r="AR75" s="353"/>
      <c r="AS75" s="353"/>
      <c r="AT75" s="353"/>
    </row>
    <row r="76" spans="1:46" ht="17.399999999999999">
      <c r="A76" s="353"/>
      <c r="B76" s="353"/>
      <c r="C76" s="353"/>
      <c r="D76" s="353"/>
      <c r="E76" s="353"/>
      <c r="F76" s="353"/>
      <c r="G76" s="353"/>
      <c r="H76" s="353"/>
      <c r="I76" s="353"/>
      <c r="J76" s="353"/>
      <c r="K76" s="353"/>
      <c r="L76" s="353"/>
      <c r="M76" s="353"/>
      <c r="N76" s="353"/>
      <c r="O76" s="353"/>
      <c r="P76" s="353"/>
      <c r="Q76" s="353"/>
      <c r="R76" s="353"/>
      <c r="S76" s="353"/>
      <c r="T76" s="353"/>
      <c r="U76" s="353"/>
      <c r="V76" s="353"/>
      <c r="W76" s="353"/>
      <c r="X76" s="353"/>
      <c r="Y76" s="353"/>
      <c r="Z76" s="353"/>
      <c r="AA76" s="353"/>
      <c r="AB76" s="353"/>
      <c r="AC76" s="353"/>
      <c r="AD76" s="353"/>
      <c r="AE76" s="353"/>
      <c r="AF76" s="353"/>
      <c r="AG76" s="353"/>
      <c r="AH76" s="353"/>
      <c r="AI76" s="353"/>
      <c r="AJ76" s="353"/>
      <c r="AK76" s="353"/>
      <c r="AL76" s="353"/>
      <c r="AM76" s="353"/>
      <c r="AN76" s="353"/>
      <c r="AO76" s="353"/>
      <c r="AP76" s="353"/>
      <c r="AQ76" s="353"/>
      <c r="AR76" s="353"/>
      <c r="AS76" s="353"/>
      <c r="AT76" s="353"/>
    </row>
    <row r="77" spans="1:46" ht="17.399999999999999">
      <c r="A77" s="353"/>
      <c r="B77" s="353"/>
      <c r="C77" s="353"/>
      <c r="D77" s="353"/>
      <c r="E77" s="353"/>
      <c r="F77" s="353"/>
      <c r="G77" s="353"/>
      <c r="H77" s="353"/>
      <c r="I77" s="353"/>
      <c r="J77" s="353"/>
      <c r="K77" s="353"/>
      <c r="L77" s="353"/>
      <c r="M77" s="353"/>
      <c r="N77" s="353"/>
      <c r="O77" s="353"/>
      <c r="P77" s="353"/>
      <c r="Q77" s="353"/>
      <c r="R77" s="353"/>
      <c r="S77" s="353"/>
      <c r="T77" s="353"/>
      <c r="U77" s="353"/>
      <c r="V77" s="353"/>
      <c r="W77" s="353"/>
      <c r="X77" s="353"/>
      <c r="Y77" s="353"/>
      <c r="Z77" s="353"/>
      <c r="AA77" s="353"/>
      <c r="AB77" s="353"/>
      <c r="AC77" s="353"/>
      <c r="AD77" s="353"/>
      <c r="AE77" s="353"/>
      <c r="AF77" s="353"/>
      <c r="AG77" s="353"/>
      <c r="AH77" s="353"/>
      <c r="AI77" s="353"/>
      <c r="AJ77" s="353"/>
      <c r="AK77" s="353"/>
      <c r="AL77" s="353"/>
      <c r="AM77" s="353"/>
      <c r="AN77" s="353"/>
      <c r="AO77" s="353"/>
      <c r="AP77" s="353"/>
      <c r="AQ77" s="353"/>
      <c r="AR77" s="353"/>
      <c r="AS77" s="353"/>
      <c r="AT77" s="353"/>
    </row>
    <row r="78" spans="1:46" ht="17.399999999999999">
      <c r="A78" s="353"/>
      <c r="B78" s="353"/>
      <c r="C78" s="353"/>
      <c r="D78" s="353"/>
      <c r="E78" s="353"/>
      <c r="F78" s="353"/>
      <c r="G78" s="353"/>
      <c r="H78" s="353"/>
      <c r="I78" s="353"/>
      <c r="J78" s="353"/>
      <c r="K78" s="353"/>
      <c r="L78" s="353"/>
      <c r="M78" s="353"/>
      <c r="N78" s="353"/>
      <c r="O78" s="353"/>
      <c r="P78" s="353"/>
      <c r="Q78" s="353"/>
      <c r="R78" s="353"/>
      <c r="S78" s="353"/>
      <c r="T78" s="353"/>
      <c r="U78" s="353"/>
      <c r="V78" s="353"/>
      <c r="W78" s="353"/>
      <c r="X78" s="353"/>
      <c r="Y78" s="353"/>
      <c r="Z78" s="353"/>
      <c r="AA78" s="353"/>
      <c r="AB78" s="353"/>
      <c r="AC78" s="353"/>
      <c r="AD78" s="353"/>
      <c r="AE78" s="353"/>
      <c r="AF78" s="353"/>
      <c r="AG78" s="353"/>
      <c r="AH78" s="353"/>
      <c r="AI78" s="353"/>
      <c r="AJ78" s="353"/>
      <c r="AK78" s="353"/>
      <c r="AL78" s="353"/>
      <c r="AM78" s="353"/>
      <c r="AN78" s="353"/>
      <c r="AO78" s="353"/>
      <c r="AP78" s="353"/>
      <c r="AQ78" s="353"/>
      <c r="AR78" s="353"/>
      <c r="AS78" s="353"/>
      <c r="AT78" s="353"/>
    </row>
    <row r="79" spans="1:46" ht="17.399999999999999">
      <c r="A79" s="353"/>
      <c r="B79" s="353"/>
      <c r="C79" s="353"/>
      <c r="D79" s="353"/>
      <c r="E79" s="353"/>
      <c r="F79" s="353"/>
      <c r="G79" s="353"/>
      <c r="H79" s="353"/>
      <c r="I79" s="353"/>
      <c r="J79" s="353"/>
      <c r="K79" s="353"/>
      <c r="L79" s="353"/>
      <c r="M79" s="353"/>
      <c r="N79" s="353"/>
      <c r="O79" s="353"/>
      <c r="P79" s="353"/>
      <c r="Q79" s="353"/>
      <c r="R79" s="353"/>
      <c r="S79" s="353"/>
      <c r="T79" s="353"/>
      <c r="U79" s="353"/>
      <c r="V79" s="353"/>
      <c r="W79" s="353"/>
      <c r="X79" s="353"/>
      <c r="Y79" s="353"/>
      <c r="Z79" s="353"/>
      <c r="AA79" s="353"/>
      <c r="AB79" s="353"/>
      <c r="AC79" s="353"/>
      <c r="AD79" s="353"/>
      <c r="AE79" s="353"/>
      <c r="AF79" s="353"/>
      <c r="AG79" s="353"/>
      <c r="AH79" s="353"/>
      <c r="AI79" s="353"/>
      <c r="AJ79" s="353"/>
      <c r="AK79" s="353"/>
      <c r="AL79" s="353"/>
      <c r="AM79" s="353"/>
      <c r="AN79" s="353"/>
      <c r="AO79" s="353"/>
      <c r="AP79" s="353"/>
      <c r="AQ79" s="353"/>
      <c r="AR79" s="353"/>
      <c r="AS79" s="353"/>
      <c r="AT79" s="353"/>
    </row>
    <row r="80" spans="1:46" ht="17.399999999999999">
      <c r="A80" s="353"/>
      <c r="B80" s="353"/>
      <c r="C80" s="353"/>
      <c r="D80" s="353"/>
      <c r="E80" s="353"/>
      <c r="F80" s="353"/>
      <c r="G80" s="353"/>
      <c r="H80" s="353"/>
      <c r="I80" s="353"/>
      <c r="J80" s="353"/>
      <c r="K80" s="353"/>
      <c r="L80" s="353"/>
      <c r="M80" s="353"/>
      <c r="N80" s="353"/>
      <c r="O80" s="353"/>
      <c r="P80" s="353"/>
      <c r="Q80" s="353"/>
      <c r="R80" s="353"/>
      <c r="S80" s="353"/>
      <c r="T80" s="353"/>
      <c r="U80" s="353"/>
      <c r="V80" s="353"/>
      <c r="W80" s="353"/>
      <c r="X80" s="353"/>
      <c r="Y80" s="353"/>
      <c r="Z80" s="353"/>
      <c r="AA80" s="353"/>
      <c r="AB80" s="353"/>
      <c r="AC80" s="353"/>
      <c r="AD80" s="353"/>
      <c r="AE80" s="353"/>
      <c r="AF80" s="353"/>
      <c r="AG80" s="353"/>
      <c r="AH80" s="353"/>
      <c r="AI80" s="353"/>
      <c r="AJ80" s="353"/>
      <c r="AK80" s="353"/>
      <c r="AL80" s="353"/>
      <c r="AM80" s="353"/>
      <c r="AN80" s="353"/>
      <c r="AO80" s="353"/>
      <c r="AP80" s="353"/>
      <c r="AQ80" s="353"/>
      <c r="AR80" s="353"/>
      <c r="AS80" s="353"/>
      <c r="AT80" s="353"/>
    </row>
    <row r="81" spans="1:46" ht="17.399999999999999">
      <c r="A81" s="353"/>
      <c r="B81" s="353"/>
      <c r="C81" s="353"/>
      <c r="D81" s="353"/>
      <c r="E81" s="353"/>
      <c r="F81" s="353"/>
      <c r="G81" s="353"/>
      <c r="H81" s="353"/>
      <c r="I81" s="353"/>
      <c r="J81" s="353"/>
      <c r="K81" s="353"/>
      <c r="L81" s="353"/>
      <c r="M81" s="353"/>
      <c r="N81" s="353"/>
      <c r="O81" s="353"/>
      <c r="P81" s="353"/>
      <c r="Q81" s="353"/>
      <c r="R81" s="353"/>
      <c r="S81" s="353"/>
      <c r="T81" s="353"/>
      <c r="U81" s="353"/>
      <c r="V81" s="353"/>
      <c r="W81" s="353"/>
      <c r="X81" s="353"/>
      <c r="Y81" s="353"/>
      <c r="Z81" s="353"/>
      <c r="AA81" s="353"/>
      <c r="AB81" s="353"/>
      <c r="AC81" s="353"/>
      <c r="AD81" s="353"/>
      <c r="AE81" s="353"/>
      <c r="AF81" s="353"/>
      <c r="AG81" s="353"/>
      <c r="AH81" s="353"/>
      <c r="AI81" s="353"/>
      <c r="AJ81" s="353"/>
      <c r="AK81" s="353"/>
      <c r="AL81" s="353"/>
      <c r="AM81" s="353"/>
      <c r="AN81" s="353"/>
      <c r="AO81" s="353"/>
      <c r="AP81" s="353"/>
      <c r="AQ81" s="353"/>
      <c r="AR81" s="353"/>
      <c r="AS81" s="353"/>
      <c r="AT81" s="353"/>
    </row>
    <row r="82" spans="1:46" ht="17.399999999999999">
      <c r="A82" s="353"/>
      <c r="B82" s="353"/>
      <c r="C82" s="353"/>
      <c r="D82" s="353"/>
      <c r="E82" s="353"/>
      <c r="F82" s="353"/>
      <c r="G82" s="353"/>
      <c r="H82" s="353"/>
      <c r="I82" s="353"/>
      <c r="J82" s="353"/>
      <c r="K82" s="353"/>
      <c r="L82" s="353"/>
      <c r="M82" s="353"/>
      <c r="N82" s="353"/>
      <c r="O82" s="353"/>
      <c r="P82" s="353"/>
      <c r="Q82" s="353"/>
      <c r="R82" s="353"/>
      <c r="S82" s="353"/>
      <c r="T82" s="353"/>
      <c r="U82" s="353"/>
      <c r="V82" s="353"/>
      <c r="W82" s="353"/>
      <c r="X82" s="353"/>
      <c r="Y82" s="353"/>
      <c r="Z82" s="353"/>
      <c r="AA82" s="353"/>
      <c r="AB82" s="353"/>
      <c r="AC82" s="353"/>
      <c r="AD82" s="353"/>
      <c r="AE82" s="353"/>
      <c r="AF82" s="353"/>
      <c r="AG82" s="353"/>
      <c r="AH82" s="353"/>
      <c r="AI82" s="353"/>
      <c r="AJ82" s="353"/>
      <c r="AK82" s="353"/>
      <c r="AL82" s="353"/>
      <c r="AM82" s="353"/>
      <c r="AN82" s="353"/>
      <c r="AO82" s="353"/>
      <c r="AP82" s="353"/>
      <c r="AQ82" s="353"/>
      <c r="AR82" s="353"/>
      <c r="AS82" s="353"/>
      <c r="AT82" s="353"/>
    </row>
    <row r="83" spans="1:46" ht="17.399999999999999">
      <c r="A83" s="353"/>
      <c r="B83" s="353"/>
      <c r="C83" s="353"/>
      <c r="D83" s="353"/>
      <c r="E83" s="353"/>
      <c r="F83" s="353"/>
      <c r="G83" s="353"/>
      <c r="H83" s="353"/>
      <c r="I83" s="353"/>
      <c r="J83" s="353"/>
      <c r="K83" s="353"/>
      <c r="L83" s="353"/>
      <c r="M83" s="353"/>
      <c r="N83" s="353"/>
      <c r="O83" s="353"/>
      <c r="P83" s="353"/>
      <c r="Q83" s="353"/>
      <c r="R83" s="353"/>
      <c r="S83" s="353"/>
      <c r="T83" s="353"/>
      <c r="U83" s="353"/>
      <c r="V83" s="353"/>
      <c r="W83" s="353"/>
      <c r="X83" s="353"/>
      <c r="Y83" s="353"/>
      <c r="Z83" s="353"/>
      <c r="AA83" s="353"/>
      <c r="AB83" s="353"/>
      <c r="AC83" s="353"/>
      <c r="AD83" s="353"/>
      <c r="AE83" s="353"/>
      <c r="AF83" s="353"/>
      <c r="AG83" s="353"/>
      <c r="AH83" s="353"/>
      <c r="AI83" s="353"/>
      <c r="AJ83" s="353"/>
      <c r="AK83" s="353"/>
      <c r="AL83" s="353"/>
      <c r="AM83" s="353"/>
      <c r="AN83" s="353"/>
      <c r="AO83" s="353"/>
      <c r="AP83" s="353"/>
      <c r="AQ83" s="353"/>
      <c r="AR83" s="353"/>
      <c r="AS83" s="353"/>
      <c r="AT83" s="353"/>
    </row>
    <row r="84" spans="1:46" ht="17.399999999999999">
      <c r="A84" s="353"/>
      <c r="B84" s="353"/>
      <c r="C84" s="353"/>
      <c r="D84" s="353"/>
      <c r="E84" s="353"/>
      <c r="F84" s="353"/>
      <c r="G84" s="353"/>
      <c r="H84" s="353"/>
      <c r="I84" s="353"/>
      <c r="J84" s="353"/>
      <c r="K84" s="353"/>
      <c r="L84" s="353"/>
      <c r="M84" s="353"/>
      <c r="N84" s="353"/>
      <c r="O84" s="353"/>
      <c r="P84" s="353"/>
      <c r="Q84" s="353"/>
      <c r="R84" s="353"/>
      <c r="S84" s="353"/>
      <c r="T84" s="353"/>
      <c r="U84" s="353"/>
      <c r="V84" s="353"/>
      <c r="W84" s="353"/>
      <c r="X84" s="353"/>
      <c r="Y84" s="353"/>
      <c r="Z84" s="353"/>
      <c r="AA84" s="353"/>
      <c r="AB84" s="353"/>
      <c r="AC84" s="353"/>
      <c r="AD84" s="353"/>
      <c r="AE84" s="353"/>
      <c r="AF84" s="353"/>
      <c r="AG84" s="353"/>
      <c r="AH84" s="353"/>
      <c r="AI84" s="353"/>
      <c r="AJ84" s="353"/>
      <c r="AK84" s="353"/>
      <c r="AL84" s="353"/>
      <c r="AM84" s="353"/>
      <c r="AN84" s="353"/>
      <c r="AO84" s="353"/>
      <c r="AP84" s="353"/>
      <c r="AQ84" s="353"/>
      <c r="AR84" s="353"/>
      <c r="AS84" s="353"/>
      <c r="AT84" s="353"/>
    </row>
    <row r="85" spans="1:46" ht="17.399999999999999">
      <c r="A85" s="353"/>
      <c r="B85" s="353"/>
      <c r="C85" s="353"/>
      <c r="D85" s="353"/>
      <c r="E85" s="353"/>
      <c r="F85" s="353"/>
      <c r="G85" s="353"/>
      <c r="H85" s="353"/>
      <c r="I85" s="353"/>
      <c r="J85" s="353"/>
      <c r="K85" s="353"/>
      <c r="L85" s="353"/>
      <c r="M85" s="353"/>
      <c r="N85" s="353"/>
      <c r="O85" s="353"/>
      <c r="P85" s="353"/>
      <c r="Q85" s="353"/>
      <c r="R85" s="353"/>
      <c r="S85" s="353"/>
      <c r="T85" s="353"/>
      <c r="U85" s="353"/>
      <c r="V85" s="353"/>
      <c r="W85" s="353"/>
      <c r="X85" s="353"/>
      <c r="Y85" s="353"/>
      <c r="Z85" s="353"/>
      <c r="AA85" s="353"/>
      <c r="AB85" s="353"/>
      <c r="AC85" s="353"/>
      <c r="AD85" s="353"/>
      <c r="AE85" s="353"/>
      <c r="AF85" s="353"/>
      <c r="AG85" s="353"/>
      <c r="AH85" s="353"/>
      <c r="AI85" s="353"/>
      <c r="AJ85" s="353"/>
      <c r="AK85" s="353"/>
      <c r="AL85" s="353"/>
      <c r="AM85" s="353"/>
      <c r="AN85" s="353"/>
      <c r="AO85" s="353"/>
      <c r="AP85" s="353"/>
      <c r="AQ85" s="353"/>
      <c r="AR85" s="353"/>
      <c r="AS85" s="353"/>
      <c r="AT85" s="353"/>
    </row>
    <row r="86" spans="1:46" ht="17.399999999999999">
      <c r="A86" s="353"/>
      <c r="B86" s="353"/>
      <c r="C86" s="353"/>
      <c r="D86" s="353"/>
      <c r="E86" s="353"/>
      <c r="F86" s="353"/>
      <c r="G86" s="353"/>
      <c r="H86" s="353"/>
      <c r="I86" s="353"/>
      <c r="J86" s="353"/>
      <c r="K86" s="353"/>
      <c r="L86" s="353"/>
      <c r="M86" s="353"/>
      <c r="N86" s="353"/>
      <c r="O86" s="353"/>
      <c r="P86" s="353"/>
      <c r="Q86" s="353"/>
      <c r="R86" s="353"/>
      <c r="S86" s="353"/>
      <c r="T86" s="353"/>
      <c r="U86" s="353"/>
      <c r="V86" s="353"/>
      <c r="W86" s="353"/>
      <c r="X86" s="353"/>
      <c r="Y86" s="353"/>
      <c r="Z86" s="353"/>
      <c r="AA86" s="353"/>
      <c r="AB86" s="353"/>
      <c r="AC86" s="353"/>
      <c r="AD86" s="353"/>
      <c r="AE86" s="353"/>
      <c r="AF86" s="353"/>
      <c r="AG86" s="353"/>
      <c r="AH86" s="353"/>
      <c r="AI86" s="353"/>
      <c r="AJ86" s="353"/>
      <c r="AK86" s="353"/>
      <c r="AL86" s="353"/>
      <c r="AM86" s="353"/>
      <c r="AN86" s="353"/>
      <c r="AO86" s="353"/>
      <c r="AP86" s="353"/>
      <c r="AQ86" s="353"/>
      <c r="AR86" s="353"/>
      <c r="AS86" s="353"/>
      <c r="AT86" s="353"/>
    </row>
    <row r="87" spans="1:46" ht="17.399999999999999">
      <c r="A87" s="353"/>
      <c r="B87" s="353"/>
      <c r="C87" s="353"/>
      <c r="D87" s="353"/>
      <c r="E87" s="353"/>
      <c r="F87" s="353"/>
      <c r="G87" s="353"/>
      <c r="H87" s="353"/>
      <c r="I87" s="353"/>
      <c r="J87" s="353"/>
      <c r="K87" s="353"/>
      <c r="L87" s="353"/>
      <c r="M87" s="353"/>
      <c r="N87" s="353"/>
      <c r="O87" s="353"/>
      <c r="P87" s="353"/>
      <c r="Q87" s="353"/>
      <c r="R87" s="353"/>
      <c r="S87" s="353"/>
      <c r="T87" s="353"/>
      <c r="U87" s="353"/>
      <c r="V87" s="353"/>
      <c r="W87" s="353"/>
      <c r="X87" s="353"/>
      <c r="Y87" s="353"/>
      <c r="Z87" s="353"/>
      <c r="AA87" s="353"/>
      <c r="AB87" s="353"/>
      <c r="AC87" s="353"/>
      <c r="AD87" s="353"/>
      <c r="AE87" s="353"/>
      <c r="AF87" s="353"/>
      <c r="AG87" s="353"/>
      <c r="AH87" s="353"/>
      <c r="AI87" s="353"/>
      <c r="AJ87" s="353"/>
      <c r="AK87" s="353"/>
      <c r="AL87" s="353"/>
      <c r="AM87" s="353"/>
      <c r="AN87" s="353"/>
      <c r="AO87" s="353"/>
      <c r="AP87" s="353"/>
      <c r="AQ87" s="353"/>
      <c r="AR87" s="353"/>
      <c r="AS87" s="353"/>
      <c r="AT87" s="353"/>
    </row>
    <row r="88" spans="1:46" ht="17.399999999999999">
      <c r="A88" s="353"/>
      <c r="B88" s="353"/>
      <c r="C88" s="353"/>
      <c r="D88" s="353"/>
      <c r="E88" s="353"/>
      <c r="F88" s="353"/>
      <c r="G88" s="353"/>
      <c r="H88" s="353"/>
      <c r="I88" s="353"/>
      <c r="J88" s="353"/>
      <c r="K88" s="353"/>
      <c r="L88" s="353"/>
      <c r="M88" s="353"/>
      <c r="N88" s="353"/>
      <c r="O88" s="353"/>
      <c r="P88" s="353"/>
      <c r="Q88" s="353"/>
      <c r="R88" s="353"/>
      <c r="S88" s="353"/>
      <c r="T88" s="353"/>
      <c r="U88" s="353"/>
      <c r="V88" s="353"/>
      <c r="W88" s="353"/>
      <c r="X88" s="353"/>
      <c r="Y88" s="353"/>
      <c r="Z88" s="353"/>
      <c r="AA88" s="353"/>
      <c r="AB88" s="353"/>
      <c r="AC88" s="353"/>
      <c r="AD88" s="353"/>
      <c r="AE88" s="353"/>
      <c r="AF88" s="353"/>
      <c r="AG88" s="353"/>
      <c r="AH88" s="353"/>
      <c r="AI88" s="353"/>
      <c r="AJ88" s="353"/>
      <c r="AK88" s="353"/>
      <c r="AL88" s="353"/>
      <c r="AM88" s="353"/>
      <c r="AN88" s="353"/>
      <c r="AO88" s="353"/>
      <c r="AP88" s="353"/>
      <c r="AQ88" s="353"/>
      <c r="AR88" s="353"/>
      <c r="AS88" s="353"/>
      <c r="AT88" s="353"/>
    </row>
    <row r="89" spans="1:46" ht="17.399999999999999">
      <c r="A89" s="353"/>
      <c r="B89" s="353"/>
      <c r="C89" s="353"/>
      <c r="D89" s="353"/>
      <c r="E89" s="353"/>
      <c r="F89" s="353"/>
      <c r="G89" s="353"/>
      <c r="H89" s="353"/>
      <c r="I89" s="353"/>
      <c r="J89" s="353"/>
      <c r="K89" s="353"/>
      <c r="L89" s="353"/>
      <c r="M89" s="353"/>
      <c r="N89" s="353"/>
      <c r="O89" s="353"/>
      <c r="P89" s="353"/>
      <c r="Q89" s="353"/>
      <c r="R89" s="353"/>
      <c r="S89" s="353"/>
      <c r="T89" s="353"/>
      <c r="U89" s="353"/>
      <c r="V89" s="353"/>
      <c r="W89" s="353"/>
      <c r="X89" s="353"/>
      <c r="Y89" s="353"/>
      <c r="Z89" s="353"/>
      <c r="AA89" s="353"/>
      <c r="AB89" s="353"/>
      <c r="AC89" s="353"/>
      <c r="AD89" s="353"/>
      <c r="AE89" s="353"/>
      <c r="AF89" s="353"/>
      <c r="AG89" s="353"/>
      <c r="AH89" s="353"/>
      <c r="AI89" s="353"/>
      <c r="AJ89" s="353"/>
      <c r="AK89" s="353"/>
      <c r="AL89" s="353"/>
      <c r="AM89" s="353"/>
      <c r="AN89" s="353"/>
      <c r="AO89" s="353"/>
      <c r="AP89" s="353"/>
      <c r="AQ89" s="353"/>
      <c r="AR89" s="353"/>
      <c r="AS89" s="353"/>
      <c r="AT89" s="353"/>
    </row>
    <row r="90" spans="1:46" ht="17.399999999999999">
      <c r="A90" s="353"/>
      <c r="B90" s="353"/>
      <c r="C90" s="353"/>
      <c r="D90" s="353"/>
      <c r="E90" s="353"/>
      <c r="F90" s="353"/>
      <c r="G90" s="353"/>
      <c r="H90" s="353"/>
      <c r="I90" s="353"/>
      <c r="J90" s="353"/>
      <c r="K90" s="353"/>
      <c r="L90" s="353"/>
      <c r="M90" s="353"/>
      <c r="N90" s="353"/>
      <c r="O90" s="353"/>
      <c r="P90" s="353"/>
      <c r="Q90" s="353"/>
      <c r="R90" s="353"/>
      <c r="S90" s="353"/>
      <c r="T90" s="353"/>
      <c r="U90" s="353"/>
      <c r="V90" s="353"/>
      <c r="W90" s="353"/>
      <c r="X90" s="353"/>
      <c r="Y90" s="353"/>
      <c r="Z90" s="353"/>
      <c r="AA90" s="353"/>
      <c r="AB90" s="353"/>
      <c r="AC90" s="353"/>
      <c r="AD90" s="353"/>
      <c r="AE90" s="353"/>
      <c r="AF90" s="353"/>
      <c r="AG90" s="353"/>
      <c r="AH90" s="353"/>
      <c r="AI90" s="353"/>
      <c r="AJ90" s="353"/>
      <c r="AK90" s="353"/>
      <c r="AL90" s="353"/>
      <c r="AM90" s="353"/>
      <c r="AN90" s="353"/>
      <c r="AO90" s="353"/>
      <c r="AP90" s="353"/>
      <c r="AQ90" s="353"/>
      <c r="AR90" s="353"/>
      <c r="AS90" s="353"/>
      <c r="AT90" s="353"/>
    </row>
    <row r="91" spans="1:46" ht="17.399999999999999">
      <c r="A91" s="353"/>
      <c r="B91" s="353"/>
      <c r="C91" s="353"/>
      <c r="D91" s="353"/>
      <c r="E91" s="353"/>
      <c r="F91" s="353"/>
      <c r="G91" s="353"/>
      <c r="H91" s="353"/>
      <c r="I91" s="353"/>
      <c r="J91" s="353"/>
      <c r="K91" s="353"/>
      <c r="L91" s="353"/>
      <c r="M91" s="353"/>
      <c r="N91" s="353"/>
      <c r="O91" s="353"/>
      <c r="P91" s="353"/>
      <c r="Q91" s="353"/>
      <c r="R91" s="353"/>
      <c r="S91" s="353"/>
      <c r="T91" s="353"/>
      <c r="U91" s="353"/>
      <c r="V91" s="353"/>
      <c r="W91" s="353"/>
      <c r="X91" s="353"/>
      <c r="Y91" s="353"/>
      <c r="Z91" s="353"/>
      <c r="AA91" s="353"/>
      <c r="AB91" s="353"/>
      <c r="AC91" s="353"/>
      <c r="AD91" s="353"/>
      <c r="AE91" s="353"/>
      <c r="AF91" s="353"/>
      <c r="AG91" s="353"/>
      <c r="AH91" s="353"/>
      <c r="AI91" s="353"/>
      <c r="AJ91" s="353"/>
      <c r="AK91" s="353"/>
      <c r="AL91" s="353"/>
      <c r="AM91" s="353"/>
      <c r="AN91" s="353"/>
      <c r="AO91" s="353"/>
      <c r="AP91" s="353"/>
      <c r="AQ91" s="353"/>
      <c r="AR91" s="353"/>
      <c r="AS91" s="353"/>
      <c r="AT91" s="353"/>
    </row>
    <row r="92" spans="1:46" ht="17.399999999999999">
      <c r="A92" s="353"/>
      <c r="B92" s="353"/>
      <c r="C92" s="353"/>
      <c r="D92" s="353"/>
      <c r="E92" s="353"/>
      <c r="F92" s="353"/>
      <c r="G92" s="353"/>
      <c r="H92" s="353"/>
      <c r="I92" s="353"/>
      <c r="J92" s="353"/>
      <c r="K92" s="353"/>
      <c r="L92" s="353"/>
      <c r="M92" s="353"/>
      <c r="N92" s="353"/>
      <c r="O92" s="353"/>
      <c r="P92" s="353"/>
      <c r="Q92" s="353"/>
      <c r="R92" s="353"/>
      <c r="S92" s="353"/>
      <c r="T92" s="353"/>
      <c r="U92" s="353"/>
      <c r="V92" s="353"/>
      <c r="W92" s="353"/>
      <c r="X92" s="353"/>
      <c r="Y92" s="353"/>
      <c r="Z92" s="353"/>
      <c r="AA92" s="353"/>
      <c r="AB92" s="353"/>
      <c r="AC92" s="353"/>
      <c r="AD92" s="353"/>
      <c r="AE92" s="353"/>
      <c r="AF92" s="353"/>
      <c r="AG92" s="353"/>
      <c r="AH92" s="353"/>
      <c r="AI92" s="353"/>
      <c r="AJ92" s="353"/>
      <c r="AK92" s="353"/>
      <c r="AL92" s="353"/>
      <c r="AM92" s="353"/>
      <c r="AN92" s="353"/>
      <c r="AO92" s="353"/>
      <c r="AP92" s="353"/>
      <c r="AQ92" s="353"/>
      <c r="AR92" s="353"/>
      <c r="AS92" s="353"/>
      <c r="AT92" s="353"/>
    </row>
    <row r="93" spans="1:46" ht="17.399999999999999">
      <c r="A93" s="353"/>
      <c r="B93" s="353"/>
      <c r="C93" s="353"/>
      <c r="D93" s="353"/>
      <c r="E93" s="353"/>
      <c r="F93" s="353"/>
      <c r="G93" s="353"/>
      <c r="H93" s="353"/>
      <c r="I93" s="353"/>
      <c r="J93" s="353"/>
      <c r="K93" s="353"/>
      <c r="L93" s="353"/>
      <c r="M93" s="353"/>
      <c r="N93" s="353"/>
      <c r="O93" s="353"/>
      <c r="P93" s="353"/>
      <c r="Q93" s="353"/>
      <c r="R93" s="353"/>
      <c r="S93" s="353"/>
      <c r="T93" s="353"/>
      <c r="U93" s="353"/>
      <c r="V93" s="353"/>
      <c r="W93" s="353"/>
      <c r="X93" s="353"/>
      <c r="Y93" s="353"/>
      <c r="Z93" s="353"/>
      <c r="AA93" s="353"/>
      <c r="AB93" s="353"/>
      <c r="AC93" s="353"/>
      <c r="AD93" s="353"/>
      <c r="AE93" s="353"/>
      <c r="AF93" s="353"/>
      <c r="AG93" s="353"/>
      <c r="AH93" s="353"/>
      <c r="AI93" s="353"/>
      <c r="AJ93" s="353"/>
      <c r="AK93" s="353"/>
      <c r="AL93" s="353"/>
      <c r="AM93" s="353"/>
      <c r="AN93" s="353"/>
      <c r="AO93" s="353"/>
      <c r="AP93" s="353"/>
      <c r="AQ93" s="353"/>
      <c r="AR93" s="353"/>
      <c r="AS93" s="353"/>
      <c r="AT93" s="353"/>
    </row>
    <row r="94" spans="1:46" ht="17.399999999999999">
      <c r="A94" s="353"/>
      <c r="B94" s="353"/>
      <c r="C94" s="353"/>
      <c r="D94" s="353"/>
      <c r="E94" s="353"/>
      <c r="F94" s="353"/>
      <c r="G94" s="353"/>
      <c r="H94" s="353"/>
      <c r="I94" s="353"/>
      <c r="J94" s="353"/>
      <c r="K94" s="353"/>
      <c r="L94" s="353"/>
      <c r="M94" s="353"/>
      <c r="N94" s="353"/>
      <c r="O94" s="353"/>
      <c r="P94" s="353"/>
      <c r="Q94" s="353"/>
      <c r="R94" s="353"/>
      <c r="S94" s="353"/>
      <c r="T94" s="353"/>
      <c r="U94" s="353"/>
      <c r="V94" s="353"/>
      <c r="W94" s="353"/>
      <c r="X94" s="353"/>
      <c r="Y94" s="353"/>
      <c r="Z94" s="353"/>
      <c r="AA94" s="353"/>
      <c r="AB94" s="353"/>
      <c r="AC94" s="353"/>
      <c r="AD94" s="353"/>
      <c r="AE94" s="353"/>
      <c r="AF94" s="353"/>
      <c r="AG94" s="353"/>
      <c r="AH94" s="353"/>
      <c r="AI94" s="353"/>
      <c r="AJ94" s="353"/>
      <c r="AK94" s="353"/>
      <c r="AL94" s="353"/>
      <c r="AM94" s="353"/>
      <c r="AN94" s="353"/>
      <c r="AO94" s="353"/>
      <c r="AP94" s="353"/>
      <c r="AQ94" s="353"/>
      <c r="AR94" s="353"/>
      <c r="AS94" s="353"/>
      <c r="AT94" s="353"/>
    </row>
    <row r="95" spans="1:46" ht="17.399999999999999">
      <c r="A95" s="353"/>
      <c r="B95" s="353"/>
      <c r="C95" s="353"/>
      <c r="D95" s="353"/>
      <c r="E95" s="353"/>
      <c r="F95" s="353"/>
      <c r="G95" s="353"/>
      <c r="H95" s="353"/>
      <c r="I95" s="353"/>
      <c r="J95" s="353"/>
      <c r="K95" s="353"/>
      <c r="L95" s="353"/>
      <c r="M95" s="353"/>
      <c r="N95" s="353"/>
      <c r="O95" s="353"/>
      <c r="P95" s="353"/>
      <c r="Q95" s="353"/>
      <c r="R95" s="353"/>
      <c r="S95" s="353"/>
      <c r="T95" s="353"/>
      <c r="U95" s="353"/>
      <c r="V95" s="353"/>
      <c r="W95" s="353"/>
      <c r="X95" s="353"/>
      <c r="Y95" s="353"/>
      <c r="Z95" s="353"/>
      <c r="AA95" s="353"/>
      <c r="AB95" s="353"/>
      <c r="AC95" s="353"/>
      <c r="AD95" s="353"/>
      <c r="AE95" s="353"/>
      <c r="AF95" s="353"/>
      <c r="AG95" s="353"/>
      <c r="AH95" s="353"/>
      <c r="AI95" s="353"/>
      <c r="AJ95" s="353"/>
      <c r="AK95" s="353"/>
      <c r="AL95" s="353"/>
      <c r="AM95" s="353"/>
      <c r="AN95" s="353"/>
      <c r="AO95" s="353"/>
      <c r="AP95" s="353"/>
      <c r="AQ95" s="353"/>
      <c r="AR95" s="353"/>
      <c r="AS95" s="353"/>
      <c r="AT95" s="353"/>
    </row>
    <row r="96" spans="1:46" ht="17.399999999999999">
      <c r="A96" s="353"/>
      <c r="B96" s="353"/>
      <c r="C96" s="353"/>
      <c r="D96" s="353"/>
      <c r="E96" s="353"/>
      <c r="F96" s="353"/>
      <c r="G96" s="353"/>
      <c r="H96" s="353"/>
      <c r="I96" s="353"/>
      <c r="J96" s="353"/>
      <c r="K96" s="353"/>
      <c r="L96" s="353"/>
      <c r="M96" s="353"/>
      <c r="N96" s="353"/>
      <c r="O96" s="353"/>
      <c r="P96" s="353"/>
      <c r="Q96" s="353"/>
      <c r="R96" s="353"/>
      <c r="S96" s="353"/>
      <c r="T96" s="353"/>
      <c r="U96" s="353"/>
      <c r="V96" s="353"/>
      <c r="W96" s="353"/>
      <c r="X96" s="353"/>
      <c r="Y96" s="353"/>
      <c r="Z96" s="353"/>
      <c r="AA96" s="353"/>
      <c r="AB96" s="353"/>
      <c r="AC96" s="353"/>
      <c r="AD96" s="353"/>
      <c r="AE96" s="353"/>
      <c r="AF96" s="353"/>
      <c r="AG96" s="353"/>
      <c r="AH96" s="353"/>
      <c r="AI96" s="353"/>
      <c r="AJ96" s="353"/>
      <c r="AK96" s="353"/>
      <c r="AL96" s="353"/>
      <c r="AM96" s="353"/>
      <c r="AN96" s="353"/>
      <c r="AO96" s="353"/>
      <c r="AP96" s="353"/>
      <c r="AQ96" s="353"/>
      <c r="AR96" s="353"/>
      <c r="AS96" s="353"/>
      <c r="AT96" s="353"/>
    </row>
    <row r="97" spans="1:46" ht="17.399999999999999">
      <c r="A97" s="353"/>
      <c r="B97" s="353"/>
      <c r="C97" s="353"/>
      <c r="D97" s="353"/>
      <c r="E97" s="353"/>
      <c r="F97" s="353"/>
      <c r="G97" s="353"/>
      <c r="H97" s="353"/>
      <c r="I97" s="353"/>
      <c r="J97" s="353"/>
      <c r="K97" s="353"/>
      <c r="L97" s="353"/>
      <c r="M97" s="353"/>
      <c r="N97" s="353"/>
      <c r="O97" s="353"/>
      <c r="P97" s="353"/>
      <c r="Q97" s="353"/>
      <c r="R97" s="353"/>
      <c r="S97" s="353"/>
      <c r="T97" s="353"/>
      <c r="U97" s="353"/>
      <c r="V97" s="353"/>
      <c r="W97" s="353"/>
      <c r="X97" s="353"/>
      <c r="Y97" s="353"/>
      <c r="Z97" s="353"/>
      <c r="AA97" s="353"/>
      <c r="AB97" s="353"/>
      <c r="AC97" s="353"/>
      <c r="AD97" s="353"/>
      <c r="AE97" s="353"/>
      <c r="AF97" s="353"/>
      <c r="AG97" s="353"/>
      <c r="AH97" s="353"/>
      <c r="AI97" s="353"/>
      <c r="AJ97" s="353"/>
      <c r="AK97" s="353"/>
      <c r="AL97" s="353"/>
      <c r="AM97" s="353"/>
      <c r="AN97" s="353"/>
      <c r="AO97" s="353"/>
      <c r="AP97" s="353"/>
      <c r="AQ97" s="353"/>
      <c r="AR97" s="353"/>
      <c r="AS97" s="353"/>
      <c r="AT97" s="353"/>
    </row>
    <row r="98" spans="1:46" ht="17.399999999999999">
      <c r="A98" s="353"/>
      <c r="B98" s="353"/>
      <c r="C98" s="353"/>
      <c r="D98" s="353"/>
      <c r="E98" s="353"/>
      <c r="F98" s="353"/>
      <c r="G98" s="353"/>
      <c r="H98" s="353"/>
      <c r="I98" s="353"/>
      <c r="J98" s="353"/>
      <c r="K98" s="353"/>
      <c r="L98" s="353"/>
      <c r="M98" s="353"/>
      <c r="N98" s="353"/>
      <c r="O98" s="353"/>
      <c r="P98" s="353"/>
      <c r="Q98" s="353"/>
      <c r="R98" s="353"/>
      <c r="S98" s="353"/>
      <c r="T98" s="353"/>
      <c r="U98" s="353"/>
      <c r="V98" s="353"/>
      <c r="W98" s="353"/>
      <c r="X98" s="353"/>
      <c r="Y98" s="353"/>
      <c r="Z98" s="353"/>
      <c r="AA98" s="353"/>
      <c r="AB98" s="353"/>
      <c r="AC98" s="353"/>
      <c r="AD98" s="353"/>
      <c r="AE98" s="353"/>
      <c r="AF98" s="353"/>
      <c r="AG98" s="353"/>
      <c r="AH98" s="353"/>
      <c r="AI98" s="353"/>
      <c r="AJ98" s="353"/>
      <c r="AK98" s="353"/>
      <c r="AL98" s="353"/>
      <c r="AM98" s="353"/>
      <c r="AN98" s="353"/>
      <c r="AO98" s="353"/>
      <c r="AP98" s="353"/>
      <c r="AQ98" s="353"/>
      <c r="AR98" s="353"/>
      <c r="AS98" s="353"/>
      <c r="AT98" s="353"/>
    </row>
    <row r="99" spans="1:46" ht="17.399999999999999">
      <c r="A99" s="353"/>
      <c r="B99" s="353"/>
      <c r="C99" s="353"/>
      <c r="D99" s="353"/>
      <c r="E99" s="353"/>
      <c r="F99" s="353"/>
      <c r="G99" s="353"/>
      <c r="H99" s="353"/>
      <c r="I99" s="353"/>
      <c r="J99" s="353"/>
      <c r="K99" s="353"/>
      <c r="L99" s="353"/>
      <c r="M99" s="353"/>
      <c r="N99" s="353"/>
      <c r="O99" s="353"/>
      <c r="P99" s="353"/>
      <c r="Q99" s="353"/>
      <c r="R99" s="353"/>
      <c r="S99" s="353"/>
      <c r="T99" s="353"/>
      <c r="U99" s="353"/>
      <c r="V99" s="353"/>
      <c r="W99" s="353"/>
      <c r="X99" s="353"/>
      <c r="Y99" s="353"/>
      <c r="Z99" s="353"/>
      <c r="AA99" s="353"/>
      <c r="AB99" s="353"/>
      <c r="AC99" s="353"/>
      <c r="AD99" s="353"/>
      <c r="AE99" s="353"/>
      <c r="AF99" s="353"/>
      <c r="AG99" s="353"/>
      <c r="AH99" s="353"/>
      <c r="AI99" s="353"/>
      <c r="AJ99" s="353"/>
      <c r="AK99" s="353"/>
      <c r="AL99" s="353"/>
      <c r="AM99" s="353"/>
      <c r="AN99" s="353"/>
      <c r="AO99" s="353"/>
      <c r="AP99" s="353"/>
      <c r="AQ99" s="353"/>
      <c r="AR99" s="353"/>
      <c r="AS99" s="353"/>
      <c r="AT99" s="353"/>
    </row>
    <row r="100" spans="1:46" ht="17.399999999999999">
      <c r="A100" s="353"/>
      <c r="B100" s="353"/>
      <c r="C100" s="353"/>
      <c r="D100" s="353"/>
      <c r="E100" s="353"/>
      <c r="F100" s="353"/>
      <c r="G100" s="353"/>
      <c r="H100" s="353"/>
      <c r="I100" s="353"/>
      <c r="J100" s="353"/>
      <c r="K100" s="353"/>
      <c r="L100" s="353"/>
      <c r="M100" s="353"/>
      <c r="N100" s="353"/>
      <c r="O100" s="353"/>
      <c r="P100" s="353"/>
      <c r="Q100" s="353"/>
      <c r="R100" s="353"/>
      <c r="S100" s="353"/>
      <c r="T100" s="353"/>
      <c r="U100" s="353"/>
      <c r="V100" s="353"/>
      <c r="W100" s="353"/>
      <c r="X100" s="353"/>
      <c r="Y100" s="353"/>
      <c r="Z100" s="353"/>
      <c r="AA100" s="353"/>
      <c r="AB100" s="353"/>
      <c r="AC100" s="353"/>
      <c r="AD100" s="353"/>
      <c r="AE100" s="353"/>
      <c r="AF100" s="353"/>
      <c r="AG100" s="353"/>
      <c r="AH100" s="353"/>
      <c r="AI100" s="353"/>
      <c r="AJ100" s="353"/>
      <c r="AK100" s="353"/>
      <c r="AL100" s="353"/>
      <c r="AM100" s="353"/>
      <c r="AN100" s="353"/>
      <c r="AO100" s="353"/>
      <c r="AP100" s="353"/>
      <c r="AQ100" s="353"/>
      <c r="AR100" s="353"/>
      <c r="AS100" s="353"/>
      <c r="AT100" s="353"/>
    </row>
    <row r="101" spans="1:46" ht="17.399999999999999">
      <c r="A101" s="353"/>
      <c r="B101" s="353"/>
      <c r="C101" s="353"/>
      <c r="D101" s="353"/>
      <c r="E101" s="353"/>
      <c r="F101" s="353"/>
      <c r="G101" s="353"/>
      <c r="H101" s="353"/>
      <c r="I101" s="353"/>
      <c r="J101" s="353"/>
      <c r="K101" s="353"/>
      <c r="L101" s="353"/>
      <c r="M101" s="353"/>
      <c r="N101" s="353"/>
      <c r="O101" s="353"/>
      <c r="P101" s="353"/>
      <c r="Q101" s="353"/>
      <c r="R101" s="353"/>
      <c r="S101" s="353"/>
      <c r="T101" s="353"/>
      <c r="U101" s="353"/>
      <c r="V101" s="353"/>
      <c r="W101" s="353"/>
      <c r="X101" s="353"/>
      <c r="Y101" s="353"/>
      <c r="Z101" s="353"/>
      <c r="AA101" s="353"/>
      <c r="AB101" s="353"/>
      <c r="AC101" s="353"/>
      <c r="AD101" s="353"/>
      <c r="AE101" s="353"/>
      <c r="AF101" s="353"/>
      <c r="AG101" s="353"/>
      <c r="AH101" s="353"/>
      <c r="AI101" s="353"/>
      <c r="AJ101" s="353"/>
      <c r="AK101" s="353"/>
      <c r="AL101" s="353"/>
      <c r="AM101" s="353"/>
      <c r="AN101" s="353"/>
      <c r="AO101" s="353"/>
      <c r="AP101" s="353"/>
      <c r="AQ101" s="353"/>
      <c r="AR101" s="353"/>
      <c r="AS101" s="353"/>
      <c r="AT101" s="353"/>
    </row>
    <row r="102" spans="1:46" ht="17.399999999999999">
      <c r="A102" s="353"/>
      <c r="B102" s="353"/>
      <c r="C102" s="353"/>
      <c r="D102" s="353"/>
      <c r="E102" s="353"/>
      <c r="F102" s="353"/>
      <c r="G102" s="353"/>
      <c r="H102" s="353"/>
      <c r="I102" s="353"/>
      <c r="J102" s="353"/>
      <c r="K102" s="353"/>
      <c r="L102" s="353"/>
      <c r="M102" s="353"/>
      <c r="N102" s="353"/>
      <c r="O102" s="353"/>
      <c r="P102" s="353"/>
      <c r="Q102" s="353"/>
      <c r="R102" s="353"/>
      <c r="S102" s="353"/>
      <c r="T102" s="353"/>
      <c r="U102" s="353"/>
      <c r="V102" s="353"/>
      <c r="W102" s="353"/>
      <c r="X102" s="353"/>
      <c r="Y102" s="353"/>
      <c r="Z102" s="353"/>
      <c r="AA102" s="353"/>
      <c r="AB102" s="353"/>
      <c r="AC102" s="353"/>
      <c r="AD102" s="353"/>
      <c r="AE102" s="353"/>
      <c r="AF102" s="353"/>
      <c r="AG102" s="353"/>
      <c r="AH102" s="353"/>
      <c r="AI102" s="353"/>
      <c r="AJ102" s="353"/>
      <c r="AK102" s="353"/>
      <c r="AL102" s="353"/>
      <c r="AM102" s="353"/>
      <c r="AN102" s="353"/>
      <c r="AO102" s="353"/>
      <c r="AP102" s="353"/>
      <c r="AQ102" s="353"/>
      <c r="AR102" s="353"/>
      <c r="AS102" s="353"/>
      <c r="AT102" s="353"/>
    </row>
    <row r="103" spans="1:46" ht="17.399999999999999">
      <c r="A103" s="353"/>
      <c r="B103" s="353"/>
      <c r="C103" s="353"/>
      <c r="D103" s="353"/>
      <c r="E103" s="353"/>
      <c r="F103" s="353"/>
      <c r="G103" s="353"/>
      <c r="H103" s="353"/>
      <c r="I103" s="353"/>
      <c r="J103" s="353"/>
      <c r="K103" s="353"/>
      <c r="L103" s="353"/>
      <c r="M103" s="353"/>
      <c r="N103" s="353"/>
      <c r="O103" s="353"/>
      <c r="P103" s="353"/>
      <c r="Q103" s="353"/>
      <c r="R103" s="353"/>
      <c r="S103" s="353"/>
      <c r="T103" s="353"/>
      <c r="U103" s="353"/>
      <c r="V103" s="353"/>
      <c r="W103" s="353"/>
      <c r="X103" s="353"/>
      <c r="Y103" s="353"/>
      <c r="Z103" s="353"/>
      <c r="AA103" s="353"/>
      <c r="AB103" s="353"/>
      <c r="AC103" s="353"/>
      <c r="AD103" s="353"/>
      <c r="AE103" s="353"/>
      <c r="AF103" s="353"/>
      <c r="AG103" s="353"/>
      <c r="AH103" s="353"/>
      <c r="AI103" s="353"/>
      <c r="AJ103" s="353"/>
      <c r="AK103" s="353"/>
      <c r="AL103" s="353"/>
      <c r="AM103" s="353"/>
      <c r="AN103" s="353"/>
      <c r="AO103" s="353"/>
      <c r="AP103" s="353"/>
      <c r="AQ103" s="353"/>
      <c r="AR103" s="353"/>
      <c r="AS103" s="353"/>
      <c r="AT103" s="353"/>
    </row>
    <row r="104" spans="1:46" ht="17.399999999999999">
      <c r="A104" s="353"/>
      <c r="B104" s="353"/>
      <c r="C104" s="353"/>
      <c r="D104" s="353"/>
      <c r="E104" s="353"/>
      <c r="F104" s="353"/>
      <c r="G104" s="353"/>
      <c r="H104" s="353"/>
      <c r="I104" s="353"/>
      <c r="J104" s="353"/>
      <c r="K104" s="353"/>
      <c r="L104" s="353"/>
      <c r="M104" s="353"/>
      <c r="N104" s="353"/>
      <c r="O104" s="353"/>
      <c r="P104" s="353"/>
      <c r="Q104" s="353"/>
      <c r="R104" s="353"/>
      <c r="S104" s="353"/>
      <c r="T104" s="353"/>
      <c r="U104" s="353"/>
      <c r="V104" s="353"/>
      <c r="W104" s="353"/>
      <c r="X104" s="353"/>
      <c r="Y104" s="353"/>
      <c r="Z104" s="353"/>
      <c r="AA104" s="353"/>
      <c r="AB104" s="353"/>
      <c r="AC104" s="353"/>
      <c r="AD104" s="353"/>
      <c r="AE104" s="353"/>
      <c r="AF104" s="353"/>
      <c r="AG104" s="353"/>
      <c r="AH104" s="353"/>
      <c r="AI104" s="353"/>
      <c r="AJ104" s="353"/>
      <c r="AK104" s="353"/>
      <c r="AL104" s="353"/>
      <c r="AM104" s="353"/>
      <c r="AN104" s="353"/>
      <c r="AO104" s="353"/>
      <c r="AP104" s="353"/>
      <c r="AQ104" s="353"/>
      <c r="AR104" s="353"/>
      <c r="AS104" s="353"/>
      <c r="AT104" s="353"/>
    </row>
    <row r="105" spans="1:46" ht="17.399999999999999">
      <c r="A105" s="353"/>
      <c r="B105" s="353"/>
      <c r="C105" s="353"/>
      <c r="D105" s="353"/>
      <c r="E105" s="353"/>
      <c r="F105" s="353"/>
      <c r="G105" s="353"/>
      <c r="H105" s="353"/>
      <c r="I105" s="353"/>
      <c r="J105" s="353"/>
      <c r="K105" s="353"/>
      <c r="L105" s="353"/>
      <c r="M105" s="353"/>
      <c r="N105" s="353"/>
      <c r="O105" s="353"/>
      <c r="P105" s="353"/>
      <c r="Q105" s="353"/>
      <c r="R105" s="353"/>
      <c r="S105" s="353"/>
      <c r="T105" s="353"/>
      <c r="U105" s="353"/>
      <c r="V105" s="353"/>
      <c r="W105" s="353"/>
      <c r="X105" s="353"/>
      <c r="Y105" s="353"/>
      <c r="Z105" s="353"/>
      <c r="AA105" s="353"/>
      <c r="AB105" s="353"/>
      <c r="AC105" s="353"/>
      <c r="AD105" s="353"/>
      <c r="AE105" s="353"/>
      <c r="AF105" s="353"/>
      <c r="AG105" s="353"/>
      <c r="AH105" s="353"/>
      <c r="AI105" s="353"/>
      <c r="AJ105" s="353"/>
      <c r="AK105" s="353"/>
      <c r="AL105" s="353"/>
      <c r="AM105" s="353"/>
      <c r="AN105" s="353"/>
      <c r="AO105" s="353"/>
      <c r="AP105" s="353"/>
      <c r="AQ105" s="353"/>
      <c r="AR105" s="353"/>
      <c r="AS105" s="353"/>
      <c r="AT105" s="353"/>
    </row>
    <row r="106" spans="1:46" ht="17.399999999999999">
      <c r="A106" s="353"/>
      <c r="B106" s="353"/>
      <c r="C106" s="353"/>
      <c r="D106" s="353"/>
      <c r="E106" s="353"/>
      <c r="F106" s="353"/>
      <c r="G106" s="353"/>
      <c r="H106" s="353"/>
      <c r="I106" s="353"/>
      <c r="J106" s="353"/>
      <c r="K106" s="353"/>
      <c r="L106" s="353"/>
      <c r="M106" s="353"/>
      <c r="N106" s="353"/>
      <c r="O106" s="353"/>
      <c r="P106" s="353"/>
      <c r="Q106" s="353"/>
      <c r="R106" s="353"/>
      <c r="S106" s="353"/>
      <c r="T106" s="353"/>
      <c r="U106" s="353"/>
      <c r="V106" s="353"/>
      <c r="W106" s="353"/>
      <c r="X106" s="353"/>
      <c r="Y106" s="353"/>
      <c r="Z106" s="353"/>
      <c r="AA106" s="353"/>
      <c r="AB106" s="353"/>
      <c r="AC106" s="353"/>
      <c r="AD106" s="353"/>
      <c r="AE106" s="353"/>
      <c r="AF106" s="353"/>
      <c r="AG106" s="353"/>
      <c r="AH106" s="353"/>
      <c r="AI106" s="353"/>
      <c r="AJ106" s="353"/>
      <c r="AK106" s="353"/>
      <c r="AL106" s="353"/>
      <c r="AM106" s="353"/>
      <c r="AN106" s="353"/>
      <c r="AO106" s="353"/>
      <c r="AP106" s="353"/>
      <c r="AQ106" s="353"/>
      <c r="AR106" s="353"/>
      <c r="AS106" s="353"/>
      <c r="AT106" s="353"/>
    </row>
    <row r="107" spans="1:46" ht="17.399999999999999">
      <c r="A107" s="353"/>
      <c r="B107" s="353"/>
      <c r="C107" s="353"/>
      <c r="D107" s="353"/>
      <c r="E107" s="353"/>
      <c r="F107" s="353"/>
      <c r="G107" s="353"/>
      <c r="H107" s="353"/>
      <c r="I107" s="353"/>
      <c r="J107" s="353"/>
      <c r="K107" s="353"/>
      <c r="L107" s="353"/>
      <c r="M107" s="353"/>
      <c r="N107" s="353"/>
      <c r="O107" s="353"/>
      <c r="P107" s="353"/>
      <c r="Q107" s="353"/>
      <c r="R107" s="353"/>
      <c r="S107" s="353"/>
      <c r="T107" s="353"/>
      <c r="U107" s="353"/>
      <c r="V107" s="353"/>
      <c r="W107" s="353"/>
      <c r="X107" s="353"/>
      <c r="Y107" s="353"/>
      <c r="Z107" s="353"/>
      <c r="AA107" s="353"/>
      <c r="AB107" s="353"/>
      <c r="AC107" s="353"/>
      <c r="AD107" s="353"/>
      <c r="AE107" s="353"/>
      <c r="AF107" s="353"/>
      <c r="AG107" s="353"/>
      <c r="AH107" s="353"/>
      <c r="AI107" s="353"/>
      <c r="AJ107" s="353"/>
      <c r="AK107" s="353"/>
      <c r="AL107" s="353"/>
      <c r="AM107" s="353"/>
      <c r="AN107" s="353"/>
      <c r="AO107" s="353"/>
      <c r="AP107" s="353"/>
      <c r="AQ107" s="353"/>
      <c r="AR107" s="353"/>
      <c r="AS107" s="353"/>
      <c r="AT107" s="353"/>
    </row>
    <row r="108" spans="1:46" ht="17.399999999999999">
      <c r="A108" s="353"/>
      <c r="B108" s="353"/>
      <c r="C108" s="353"/>
      <c r="D108" s="353"/>
      <c r="E108" s="353"/>
      <c r="F108" s="353"/>
      <c r="G108" s="353"/>
      <c r="H108" s="353"/>
      <c r="I108" s="353"/>
      <c r="J108" s="353"/>
      <c r="K108" s="353"/>
      <c r="L108" s="353"/>
      <c r="M108" s="353"/>
      <c r="N108" s="353"/>
      <c r="O108" s="353"/>
      <c r="P108" s="353"/>
      <c r="Q108" s="353"/>
      <c r="R108" s="353"/>
      <c r="S108" s="353"/>
      <c r="T108" s="353"/>
      <c r="U108" s="353"/>
      <c r="V108" s="353"/>
      <c r="W108" s="353"/>
      <c r="X108" s="353"/>
      <c r="Y108" s="353"/>
      <c r="Z108" s="353"/>
      <c r="AA108" s="353"/>
      <c r="AB108" s="353"/>
      <c r="AC108" s="353"/>
      <c r="AD108" s="353"/>
      <c r="AE108" s="353"/>
      <c r="AF108" s="353"/>
      <c r="AG108" s="353"/>
      <c r="AH108" s="353"/>
      <c r="AI108" s="353"/>
      <c r="AJ108" s="353"/>
      <c r="AK108" s="353"/>
      <c r="AL108" s="353"/>
      <c r="AM108" s="353"/>
      <c r="AN108" s="353"/>
      <c r="AO108" s="353"/>
      <c r="AP108" s="353"/>
      <c r="AQ108" s="353"/>
      <c r="AR108" s="353"/>
      <c r="AS108" s="353"/>
      <c r="AT108" s="353"/>
    </row>
    <row r="109" spans="1:46" ht="17.399999999999999">
      <c r="A109" s="353"/>
      <c r="B109" s="353"/>
      <c r="C109" s="353"/>
      <c r="D109" s="353"/>
      <c r="E109" s="353"/>
      <c r="F109" s="353"/>
      <c r="G109" s="353"/>
      <c r="H109" s="353"/>
      <c r="I109" s="353"/>
      <c r="J109" s="353"/>
      <c r="K109" s="353"/>
      <c r="L109" s="353"/>
      <c r="M109" s="353"/>
      <c r="N109" s="353"/>
      <c r="O109" s="353"/>
      <c r="P109" s="353"/>
      <c r="Q109" s="353"/>
      <c r="R109" s="353"/>
      <c r="S109" s="353"/>
      <c r="T109" s="353"/>
      <c r="U109" s="353"/>
      <c r="V109" s="353"/>
      <c r="W109" s="353"/>
      <c r="X109" s="353"/>
      <c r="Y109" s="353"/>
      <c r="Z109" s="353"/>
      <c r="AA109" s="353"/>
      <c r="AB109" s="353"/>
      <c r="AC109" s="353"/>
      <c r="AD109" s="353"/>
      <c r="AE109" s="353"/>
      <c r="AF109" s="353"/>
      <c r="AG109" s="353"/>
      <c r="AH109" s="353"/>
      <c r="AI109" s="353"/>
      <c r="AJ109" s="353"/>
      <c r="AK109" s="353"/>
      <c r="AL109" s="353"/>
      <c r="AM109" s="353"/>
      <c r="AN109" s="353"/>
      <c r="AO109" s="353"/>
      <c r="AP109" s="353"/>
      <c r="AQ109" s="353"/>
      <c r="AR109" s="353"/>
      <c r="AS109" s="353"/>
      <c r="AT109" s="353"/>
    </row>
    <row r="110" spans="1:46" ht="17.399999999999999">
      <c r="A110" s="353"/>
      <c r="B110" s="353"/>
      <c r="C110" s="353"/>
      <c r="D110" s="353"/>
      <c r="E110" s="353"/>
      <c r="F110" s="353"/>
      <c r="G110" s="353"/>
      <c r="H110" s="353"/>
      <c r="I110" s="353"/>
      <c r="J110" s="353"/>
      <c r="K110" s="353"/>
      <c r="L110" s="353"/>
      <c r="M110" s="353"/>
      <c r="N110" s="353"/>
      <c r="O110" s="353"/>
      <c r="P110" s="353"/>
      <c r="Q110" s="353"/>
      <c r="R110" s="353"/>
      <c r="S110" s="353"/>
      <c r="T110" s="353"/>
      <c r="U110" s="353"/>
      <c r="V110" s="353"/>
      <c r="W110" s="353"/>
      <c r="X110" s="353"/>
      <c r="Y110" s="353"/>
      <c r="Z110" s="353"/>
      <c r="AA110" s="353"/>
      <c r="AB110" s="353"/>
      <c r="AC110" s="353"/>
      <c r="AD110" s="353"/>
      <c r="AE110" s="353"/>
      <c r="AF110" s="353"/>
      <c r="AG110" s="353"/>
      <c r="AH110" s="353"/>
      <c r="AI110" s="353"/>
      <c r="AJ110" s="353"/>
      <c r="AK110" s="353"/>
      <c r="AL110" s="353"/>
      <c r="AM110" s="353"/>
      <c r="AN110" s="353"/>
      <c r="AO110" s="353"/>
      <c r="AP110" s="353"/>
      <c r="AQ110" s="353"/>
      <c r="AR110" s="353"/>
      <c r="AS110" s="353"/>
      <c r="AT110" s="353"/>
    </row>
    <row r="111" spans="1:46" ht="17.399999999999999">
      <c r="A111" s="353"/>
      <c r="B111" s="353"/>
      <c r="C111" s="353"/>
      <c r="D111" s="353"/>
      <c r="E111" s="353"/>
      <c r="F111" s="353"/>
      <c r="G111" s="353"/>
      <c r="H111" s="353"/>
      <c r="I111" s="353"/>
      <c r="J111" s="353"/>
      <c r="K111" s="353"/>
      <c r="L111" s="353"/>
      <c r="M111" s="353"/>
      <c r="N111" s="353"/>
      <c r="O111" s="353"/>
      <c r="P111" s="353"/>
      <c r="Q111" s="353"/>
      <c r="R111" s="353"/>
      <c r="S111" s="353"/>
      <c r="T111" s="353"/>
      <c r="U111" s="353"/>
      <c r="V111" s="353"/>
      <c r="W111" s="353"/>
      <c r="X111" s="353"/>
      <c r="Y111" s="353"/>
      <c r="Z111" s="353"/>
      <c r="AA111" s="353"/>
      <c r="AB111" s="353"/>
      <c r="AC111" s="353"/>
      <c r="AD111" s="353"/>
      <c r="AE111" s="353"/>
      <c r="AF111" s="353"/>
      <c r="AG111" s="353"/>
      <c r="AH111" s="353"/>
      <c r="AI111" s="353"/>
      <c r="AJ111" s="353"/>
      <c r="AK111" s="353"/>
      <c r="AL111" s="353"/>
      <c r="AM111" s="353"/>
      <c r="AN111" s="353"/>
      <c r="AO111" s="353"/>
      <c r="AP111" s="353"/>
      <c r="AQ111" s="353"/>
      <c r="AR111" s="353"/>
      <c r="AS111" s="353"/>
      <c r="AT111" s="353"/>
    </row>
    <row r="112" spans="1:46" ht="17.399999999999999">
      <c r="A112" s="353"/>
      <c r="B112" s="353"/>
      <c r="C112" s="353"/>
      <c r="D112" s="353"/>
      <c r="E112" s="353"/>
      <c r="F112" s="353"/>
      <c r="G112" s="353"/>
      <c r="H112" s="353"/>
      <c r="I112" s="353"/>
      <c r="J112" s="353"/>
      <c r="K112" s="353"/>
      <c r="L112" s="353"/>
      <c r="M112" s="353"/>
      <c r="N112" s="353"/>
      <c r="O112" s="353"/>
      <c r="P112" s="353"/>
      <c r="Q112" s="353"/>
      <c r="R112" s="353"/>
      <c r="S112" s="353"/>
      <c r="T112" s="353"/>
      <c r="U112" s="353"/>
      <c r="V112" s="353"/>
      <c r="W112" s="353"/>
      <c r="X112" s="353"/>
      <c r="Y112" s="353"/>
      <c r="Z112" s="353"/>
      <c r="AA112" s="353"/>
      <c r="AB112" s="353"/>
      <c r="AC112" s="353"/>
      <c r="AD112" s="353"/>
      <c r="AE112" s="353"/>
      <c r="AF112" s="353"/>
      <c r="AG112" s="353"/>
      <c r="AH112" s="353"/>
      <c r="AI112" s="353"/>
      <c r="AJ112" s="353"/>
      <c r="AK112" s="353"/>
      <c r="AL112" s="353"/>
      <c r="AM112" s="353"/>
      <c r="AN112" s="353"/>
      <c r="AO112" s="353"/>
      <c r="AP112" s="353"/>
      <c r="AQ112" s="353"/>
      <c r="AR112" s="353"/>
      <c r="AS112" s="353"/>
      <c r="AT112" s="353"/>
    </row>
    <row r="113" spans="1:46" ht="17.399999999999999">
      <c r="A113" s="353"/>
      <c r="B113" s="353"/>
      <c r="C113" s="353"/>
      <c r="D113" s="353"/>
      <c r="E113" s="353"/>
      <c r="F113" s="353"/>
      <c r="G113" s="353"/>
      <c r="H113" s="353"/>
      <c r="I113" s="353"/>
      <c r="J113" s="353"/>
      <c r="K113" s="353"/>
      <c r="L113" s="353"/>
      <c r="M113" s="353"/>
      <c r="N113" s="353"/>
      <c r="O113" s="353"/>
      <c r="P113" s="353"/>
      <c r="Q113" s="353"/>
      <c r="R113" s="353"/>
      <c r="S113" s="353"/>
      <c r="T113" s="353"/>
      <c r="U113" s="353"/>
      <c r="V113" s="353"/>
      <c r="W113" s="353"/>
      <c r="X113" s="353"/>
      <c r="Y113" s="353"/>
      <c r="Z113" s="353"/>
      <c r="AA113" s="353"/>
      <c r="AB113" s="353"/>
      <c r="AC113" s="353"/>
      <c r="AD113" s="353"/>
      <c r="AE113" s="353"/>
      <c r="AF113" s="353"/>
      <c r="AG113" s="353"/>
      <c r="AH113" s="353"/>
      <c r="AI113" s="353"/>
      <c r="AJ113" s="353"/>
      <c r="AK113" s="353"/>
      <c r="AL113" s="353"/>
      <c r="AM113" s="353"/>
      <c r="AN113" s="353"/>
      <c r="AO113" s="353"/>
      <c r="AP113" s="353"/>
      <c r="AQ113" s="353"/>
      <c r="AR113" s="353"/>
      <c r="AS113" s="353"/>
      <c r="AT113" s="353"/>
    </row>
    <row r="114" spans="1:46" ht="17.399999999999999">
      <c r="A114" s="353"/>
      <c r="B114" s="353"/>
      <c r="C114" s="353"/>
      <c r="D114" s="353"/>
      <c r="E114" s="353"/>
      <c r="F114" s="353"/>
      <c r="G114" s="353"/>
      <c r="H114" s="353"/>
      <c r="I114" s="353"/>
      <c r="J114" s="353"/>
      <c r="K114" s="353"/>
      <c r="L114" s="353"/>
      <c r="M114" s="353"/>
      <c r="N114" s="353"/>
      <c r="O114" s="353"/>
      <c r="P114" s="353"/>
      <c r="Q114" s="353"/>
      <c r="R114" s="353"/>
      <c r="S114" s="353"/>
      <c r="T114" s="353"/>
      <c r="U114" s="353"/>
      <c r="V114" s="353"/>
      <c r="W114" s="353"/>
      <c r="X114" s="353"/>
      <c r="Y114" s="353"/>
      <c r="Z114" s="353"/>
      <c r="AA114" s="353"/>
      <c r="AB114" s="353"/>
      <c r="AC114" s="353"/>
      <c r="AD114" s="353"/>
      <c r="AE114" s="353"/>
      <c r="AF114" s="353"/>
      <c r="AG114" s="353"/>
      <c r="AH114" s="353"/>
      <c r="AI114" s="353"/>
      <c r="AJ114" s="353"/>
      <c r="AK114" s="353"/>
      <c r="AL114" s="353"/>
      <c r="AM114" s="353"/>
      <c r="AN114" s="353"/>
      <c r="AO114" s="353"/>
      <c r="AP114" s="353"/>
      <c r="AQ114" s="353"/>
      <c r="AR114" s="353"/>
      <c r="AS114" s="353"/>
      <c r="AT114" s="353"/>
    </row>
    <row r="115" spans="1:46" ht="17.399999999999999">
      <c r="A115" s="353"/>
      <c r="B115" s="353"/>
      <c r="C115" s="353"/>
      <c r="D115" s="353"/>
      <c r="E115" s="353"/>
      <c r="F115" s="353"/>
      <c r="G115" s="353"/>
      <c r="H115" s="353"/>
      <c r="I115" s="353"/>
      <c r="J115" s="353"/>
      <c r="K115" s="353"/>
      <c r="L115" s="353"/>
      <c r="M115" s="353"/>
      <c r="N115" s="353"/>
      <c r="O115" s="353"/>
      <c r="P115" s="353"/>
      <c r="Q115" s="353"/>
      <c r="R115" s="353"/>
      <c r="S115" s="353"/>
      <c r="T115" s="353"/>
      <c r="U115" s="353"/>
      <c r="V115" s="353"/>
      <c r="W115" s="353"/>
      <c r="X115" s="353"/>
      <c r="Y115" s="353"/>
      <c r="Z115" s="353"/>
      <c r="AA115" s="353"/>
      <c r="AB115" s="353"/>
      <c r="AC115" s="353"/>
      <c r="AD115" s="353"/>
      <c r="AE115" s="353"/>
      <c r="AF115" s="353"/>
      <c r="AG115" s="353"/>
      <c r="AH115" s="353"/>
      <c r="AI115" s="353"/>
      <c r="AJ115" s="353"/>
      <c r="AK115" s="353"/>
      <c r="AL115" s="353"/>
      <c r="AM115" s="353"/>
      <c r="AN115" s="353"/>
      <c r="AO115" s="353"/>
      <c r="AP115" s="353"/>
      <c r="AQ115" s="353"/>
      <c r="AR115" s="353"/>
      <c r="AS115" s="353"/>
      <c r="AT115" s="353"/>
    </row>
    <row r="116" spans="1:46" ht="17.399999999999999">
      <c r="A116" s="353"/>
      <c r="B116" s="353"/>
      <c r="C116" s="353"/>
      <c r="D116" s="353"/>
      <c r="E116" s="353"/>
      <c r="F116" s="353"/>
      <c r="G116" s="353"/>
      <c r="H116" s="353"/>
      <c r="I116" s="353"/>
      <c r="J116" s="353"/>
      <c r="K116" s="353"/>
      <c r="L116" s="353"/>
      <c r="M116" s="353"/>
      <c r="N116" s="353"/>
      <c r="O116" s="353"/>
      <c r="P116" s="353"/>
      <c r="Q116" s="353"/>
      <c r="R116" s="353"/>
      <c r="S116" s="353"/>
      <c r="T116" s="353"/>
      <c r="U116" s="353"/>
      <c r="V116" s="353"/>
      <c r="W116" s="353"/>
      <c r="X116" s="353"/>
      <c r="Y116" s="353"/>
      <c r="Z116" s="353"/>
      <c r="AA116" s="353"/>
      <c r="AB116" s="353"/>
      <c r="AC116" s="353"/>
      <c r="AD116" s="353"/>
      <c r="AE116" s="353"/>
      <c r="AF116" s="353"/>
      <c r="AG116" s="353"/>
      <c r="AH116" s="353"/>
      <c r="AI116" s="353"/>
      <c r="AJ116" s="353"/>
      <c r="AK116" s="353"/>
      <c r="AL116" s="353"/>
      <c r="AM116" s="353"/>
      <c r="AN116" s="353"/>
      <c r="AO116" s="353"/>
      <c r="AP116" s="353"/>
      <c r="AQ116" s="353"/>
      <c r="AR116" s="353"/>
      <c r="AS116" s="353"/>
      <c r="AT116" s="353"/>
    </row>
    <row r="117" spans="1:46" ht="17.399999999999999">
      <c r="A117" s="353"/>
      <c r="B117" s="353"/>
      <c r="C117" s="353"/>
      <c r="D117" s="353"/>
      <c r="E117" s="353"/>
      <c r="F117" s="353"/>
      <c r="G117" s="353"/>
      <c r="H117" s="353"/>
      <c r="I117" s="353"/>
      <c r="J117" s="353"/>
      <c r="K117" s="353"/>
      <c r="L117" s="353"/>
      <c r="M117" s="353"/>
      <c r="N117" s="353"/>
      <c r="O117" s="353"/>
      <c r="P117" s="353"/>
      <c r="Q117" s="353"/>
      <c r="R117" s="353"/>
      <c r="S117" s="353"/>
      <c r="T117" s="353"/>
      <c r="U117" s="353"/>
      <c r="V117" s="353"/>
      <c r="W117" s="353"/>
      <c r="X117" s="353"/>
      <c r="Y117" s="353"/>
      <c r="Z117" s="353"/>
      <c r="AA117" s="353"/>
      <c r="AB117" s="353"/>
      <c r="AC117" s="353"/>
      <c r="AD117" s="353"/>
      <c r="AE117" s="353"/>
      <c r="AF117" s="353"/>
      <c r="AG117" s="353"/>
      <c r="AH117" s="353"/>
      <c r="AI117" s="353"/>
      <c r="AJ117" s="353"/>
      <c r="AK117" s="353"/>
      <c r="AL117" s="353"/>
      <c r="AM117" s="353"/>
      <c r="AN117" s="353"/>
      <c r="AO117" s="353"/>
      <c r="AP117" s="353"/>
      <c r="AQ117" s="353"/>
      <c r="AR117" s="353"/>
      <c r="AS117" s="353"/>
      <c r="AT117" s="353"/>
    </row>
    <row r="118" spans="1:46" ht="17.399999999999999">
      <c r="A118" s="353"/>
      <c r="B118" s="353"/>
      <c r="C118" s="353"/>
      <c r="D118" s="353"/>
      <c r="E118" s="353"/>
      <c r="F118" s="353"/>
      <c r="G118" s="353"/>
      <c r="H118" s="353"/>
      <c r="I118" s="353"/>
      <c r="J118" s="353"/>
      <c r="K118" s="353"/>
      <c r="L118" s="353"/>
      <c r="M118" s="353"/>
      <c r="N118" s="353"/>
      <c r="O118" s="353"/>
      <c r="P118" s="353"/>
      <c r="Q118" s="353"/>
      <c r="R118" s="353"/>
      <c r="S118" s="353"/>
      <c r="T118" s="353"/>
      <c r="U118" s="353"/>
      <c r="V118" s="353"/>
      <c r="W118" s="353"/>
      <c r="X118" s="353"/>
      <c r="Y118" s="353"/>
      <c r="Z118" s="353"/>
      <c r="AA118" s="353"/>
      <c r="AB118" s="353"/>
      <c r="AC118" s="353"/>
      <c r="AD118" s="353"/>
      <c r="AE118" s="353"/>
      <c r="AF118" s="353"/>
      <c r="AG118" s="353"/>
      <c r="AH118" s="353"/>
      <c r="AI118" s="353"/>
      <c r="AJ118" s="353"/>
      <c r="AK118" s="353"/>
      <c r="AL118" s="353"/>
      <c r="AM118" s="353"/>
      <c r="AN118" s="353"/>
      <c r="AO118" s="353"/>
      <c r="AP118" s="353"/>
      <c r="AQ118" s="353"/>
      <c r="AR118" s="353"/>
      <c r="AS118" s="353"/>
      <c r="AT118" s="353"/>
    </row>
    <row r="119" spans="1:46" ht="17.399999999999999">
      <c r="A119" s="353"/>
      <c r="B119" s="353"/>
      <c r="C119" s="353"/>
      <c r="D119" s="353"/>
      <c r="E119" s="353"/>
      <c r="F119" s="353"/>
      <c r="G119" s="353"/>
      <c r="H119" s="353"/>
      <c r="I119" s="353"/>
      <c r="J119" s="353"/>
      <c r="K119" s="353"/>
      <c r="L119" s="353"/>
      <c r="M119" s="353"/>
      <c r="N119" s="353"/>
      <c r="O119" s="353"/>
      <c r="P119" s="353"/>
      <c r="Q119" s="353"/>
      <c r="R119" s="353"/>
      <c r="S119" s="353"/>
      <c r="T119" s="353"/>
      <c r="U119" s="353"/>
      <c r="V119" s="353"/>
      <c r="W119" s="353"/>
      <c r="X119" s="353"/>
      <c r="Y119" s="353"/>
      <c r="Z119" s="353"/>
      <c r="AA119" s="353"/>
      <c r="AB119" s="353"/>
      <c r="AC119" s="353"/>
      <c r="AD119" s="353"/>
      <c r="AE119" s="353"/>
      <c r="AF119" s="353"/>
      <c r="AG119" s="353"/>
      <c r="AH119" s="353"/>
      <c r="AI119" s="353"/>
      <c r="AJ119" s="353"/>
      <c r="AK119" s="353"/>
      <c r="AL119" s="353"/>
      <c r="AM119" s="353"/>
      <c r="AN119" s="353"/>
      <c r="AO119" s="353"/>
      <c r="AP119" s="353"/>
      <c r="AQ119" s="353"/>
      <c r="AR119" s="353"/>
      <c r="AS119" s="353"/>
      <c r="AT119" s="353"/>
    </row>
    <row r="120" spans="1:46" ht="17.399999999999999">
      <c r="A120" s="353"/>
      <c r="B120" s="353"/>
      <c r="C120" s="353"/>
      <c r="D120" s="353"/>
      <c r="E120" s="353"/>
      <c r="F120" s="353"/>
      <c r="G120" s="353"/>
      <c r="H120" s="353"/>
      <c r="I120" s="353"/>
      <c r="J120" s="353"/>
      <c r="K120" s="353"/>
      <c r="L120" s="353"/>
      <c r="M120" s="353"/>
      <c r="N120" s="353"/>
      <c r="O120" s="353"/>
      <c r="P120" s="353"/>
      <c r="Q120" s="353"/>
      <c r="R120" s="353"/>
      <c r="S120" s="353"/>
      <c r="T120" s="353"/>
      <c r="U120" s="353"/>
      <c r="V120" s="353"/>
      <c r="W120" s="353"/>
      <c r="X120" s="353"/>
      <c r="Y120" s="353"/>
      <c r="Z120" s="353"/>
      <c r="AA120" s="353"/>
      <c r="AB120" s="353"/>
      <c r="AC120" s="353"/>
      <c r="AD120" s="353"/>
      <c r="AE120" s="353"/>
      <c r="AF120" s="353"/>
      <c r="AG120" s="353"/>
      <c r="AH120" s="353"/>
      <c r="AI120" s="353"/>
      <c r="AJ120" s="353"/>
      <c r="AK120" s="353"/>
      <c r="AL120" s="353"/>
      <c r="AM120" s="353"/>
      <c r="AN120" s="353"/>
      <c r="AO120" s="353"/>
      <c r="AP120" s="353"/>
      <c r="AQ120" s="353"/>
      <c r="AR120" s="353"/>
      <c r="AS120" s="353"/>
      <c r="AT120" s="353"/>
    </row>
    <row r="121" spans="1:46" ht="17.399999999999999">
      <c r="A121" s="353"/>
      <c r="B121" s="353"/>
      <c r="C121" s="353"/>
      <c r="D121" s="353"/>
      <c r="E121" s="353"/>
      <c r="F121" s="353"/>
      <c r="G121" s="353"/>
      <c r="H121" s="353"/>
      <c r="I121" s="353"/>
      <c r="J121" s="353"/>
      <c r="K121" s="353"/>
      <c r="L121" s="353"/>
      <c r="M121" s="353"/>
      <c r="N121" s="353"/>
      <c r="O121" s="353"/>
      <c r="P121" s="353"/>
      <c r="Q121" s="353"/>
      <c r="R121" s="353"/>
      <c r="S121" s="353"/>
      <c r="T121" s="353"/>
      <c r="U121" s="353"/>
      <c r="V121" s="353"/>
      <c r="W121" s="353"/>
      <c r="X121" s="353"/>
      <c r="Y121" s="353"/>
      <c r="Z121" s="353"/>
      <c r="AA121" s="353"/>
      <c r="AB121" s="353"/>
      <c r="AC121" s="353"/>
      <c r="AD121" s="353"/>
      <c r="AE121" s="353"/>
      <c r="AF121" s="353"/>
      <c r="AG121" s="353"/>
      <c r="AH121" s="353"/>
      <c r="AI121" s="353"/>
      <c r="AJ121" s="353"/>
      <c r="AK121" s="353"/>
      <c r="AL121" s="353"/>
      <c r="AM121" s="353"/>
      <c r="AN121" s="353"/>
      <c r="AO121" s="353"/>
      <c r="AP121" s="353"/>
      <c r="AQ121" s="353"/>
      <c r="AR121" s="353"/>
      <c r="AS121" s="353"/>
      <c r="AT121" s="353"/>
    </row>
    <row r="122" spans="1:46" ht="17.399999999999999">
      <c r="A122" s="353"/>
      <c r="B122" s="353"/>
      <c r="C122" s="353"/>
      <c r="D122" s="353"/>
      <c r="E122" s="353"/>
      <c r="F122" s="353"/>
      <c r="G122" s="353"/>
      <c r="H122" s="353"/>
      <c r="I122" s="353"/>
      <c r="J122" s="353"/>
      <c r="K122" s="353"/>
      <c r="L122" s="353"/>
      <c r="M122" s="353"/>
      <c r="N122" s="353"/>
      <c r="O122" s="353"/>
      <c r="P122" s="353"/>
      <c r="Q122" s="353"/>
      <c r="R122" s="353"/>
      <c r="S122" s="353"/>
      <c r="T122" s="353"/>
      <c r="U122" s="353"/>
      <c r="V122" s="353"/>
      <c r="W122" s="353"/>
      <c r="X122" s="353"/>
      <c r="Y122" s="353"/>
      <c r="Z122" s="353"/>
      <c r="AA122" s="353"/>
      <c r="AB122" s="353"/>
      <c r="AC122" s="353"/>
      <c r="AD122" s="353"/>
      <c r="AE122" s="353"/>
      <c r="AF122" s="353"/>
      <c r="AG122" s="353"/>
      <c r="AH122" s="353"/>
      <c r="AI122" s="353"/>
      <c r="AJ122" s="353"/>
      <c r="AK122" s="353"/>
      <c r="AL122" s="353"/>
      <c r="AM122" s="353"/>
      <c r="AN122" s="353"/>
      <c r="AO122" s="353"/>
      <c r="AP122" s="353"/>
      <c r="AQ122" s="353"/>
      <c r="AR122" s="353"/>
      <c r="AS122" s="353"/>
      <c r="AT122" s="353"/>
    </row>
    <row r="123" spans="1:46" ht="17.399999999999999">
      <c r="A123" s="353"/>
      <c r="B123" s="353"/>
      <c r="C123" s="353"/>
      <c r="D123" s="353"/>
      <c r="E123" s="353"/>
      <c r="F123" s="353"/>
      <c r="G123" s="353"/>
      <c r="H123" s="353"/>
      <c r="I123" s="353"/>
      <c r="J123" s="353"/>
      <c r="K123" s="353"/>
      <c r="L123" s="353"/>
      <c r="M123" s="353"/>
      <c r="N123" s="353"/>
      <c r="O123" s="353"/>
      <c r="P123" s="353"/>
      <c r="Q123" s="353"/>
      <c r="R123" s="353"/>
      <c r="S123" s="353"/>
      <c r="T123" s="353"/>
      <c r="U123" s="353"/>
      <c r="V123" s="353"/>
      <c r="W123" s="353"/>
      <c r="X123" s="353"/>
      <c r="Y123" s="353"/>
      <c r="Z123" s="353"/>
      <c r="AA123" s="353"/>
      <c r="AB123" s="353"/>
      <c r="AC123" s="353"/>
      <c r="AD123" s="353"/>
      <c r="AE123" s="353"/>
      <c r="AF123" s="353"/>
      <c r="AG123" s="353"/>
      <c r="AH123" s="353"/>
      <c r="AI123" s="353"/>
      <c r="AJ123" s="353"/>
      <c r="AK123" s="353"/>
      <c r="AL123" s="353"/>
      <c r="AM123" s="353"/>
      <c r="AN123" s="353"/>
      <c r="AO123" s="353"/>
      <c r="AP123" s="353"/>
      <c r="AQ123" s="353"/>
      <c r="AR123" s="353"/>
      <c r="AS123" s="353"/>
      <c r="AT123" s="353"/>
    </row>
    <row r="124" spans="1:46" ht="17.399999999999999">
      <c r="A124" s="353"/>
      <c r="B124" s="353"/>
      <c r="C124" s="353"/>
      <c r="D124" s="353"/>
      <c r="E124" s="353"/>
      <c r="F124" s="353"/>
      <c r="G124" s="353"/>
      <c r="H124" s="353"/>
      <c r="I124" s="353"/>
      <c r="J124" s="353"/>
      <c r="K124" s="353"/>
      <c r="L124" s="353"/>
      <c r="M124" s="353"/>
      <c r="N124" s="353"/>
      <c r="O124" s="353"/>
      <c r="P124" s="353"/>
      <c r="Q124" s="353"/>
      <c r="R124" s="353"/>
      <c r="S124" s="353"/>
      <c r="T124" s="353"/>
      <c r="U124" s="353"/>
      <c r="V124" s="353"/>
      <c r="W124" s="353"/>
      <c r="X124" s="353"/>
      <c r="Y124" s="353"/>
      <c r="Z124" s="353"/>
      <c r="AA124" s="353"/>
      <c r="AB124" s="353"/>
      <c r="AC124" s="353"/>
      <c r="AD124" s="353"/>
      <c r="AE124" s="353"/>
      <c r="AF124" s="353"/>
      <c r="AG124" s="353"/>
      <c r="AH124" s="353"/>
      <c r="AI124" s="353"/>
      <c r="AJ124" s="353"/>
      <c r="AK124" s="353"/>
      <c r="AL124" s="353"/>
      <c r="AM124" s="353"/>
      <c r="AN124" s="353"/>
      <c r="AO124" s="353"/>
      <c r="AP124" s="353"/>
      <c r="AQ124" s="353"/>
      <c r="AR124" s="353"/>
      <c r="AS124" s="353"/>
      <c r="AT124" s="353"/>
    </row>
    <row r="125" spans="1:46" ht="17.399999999999999">
      <c r="A125" s="353"/>
      <c r="B125" s="353"/>
      <c r="C125" s="353"/>
      <c r="D125" s="353"/>
      <c r="E125" s="353"/>
      <c r="F125" s="353"/>
      <c r="G125" s="353"/>
      <c r="H125" s="353"/>
      <c r="I125" s="353"/>
      <c r="J125" s="353"/>
      <c r="K125" s="353"/>
      <c r="L125" s="353"/>
      <c r="M125" s="353"/>
      <c r="N125" s="353"/>
      <c r="O125" s="353"/>
      <c r="P125" s="353"/>
      <c r="Q125" s="353"/>
      <c r="R125" s="353"/>
      <c r="S125" s="353"/>
      <c r="T125" s="353"/>
      <c r="U125" s="353"/>
      <c r="V125" s="353"/>
      <c r="W125" s="353"/>
      <c r="X125" s="353"/>
      <c r="Y125" s="353"/>
      <c r="Z125" s="353"/>
      <c r="AA125" s="353"/>
      <c r="AB125" s="353"/>
      <c r="AC125" s="353"/>
      <c r="AD125" s="353"/>
      <c r="AE125" s="353"/>
      <c r="AF125" s="353"/>
      <c r="AG125" s="353"/>
      <c r="AH125" s="353"/>
      <c r="AI125" s="353"/>
      <c r="AJ125" s="353"/>
      <c r="AK125" s="353"/>
      <c r="AL125" s="353"/>
      <c r="AM125" s="353"/>
      <c r="AN125" s="353"/>
      <c r="AO125" s="353"/>
      <c r="AP125" s="353"/>
      <c r="AQ125" s="353"/>
      <c r="AR125" s="353"/>
      <c r="AS125" s="353"/>
      <c r="AT125" s="353"/>
    </row>
    <row r="126" spans="1:46" ht="17.399999999999999">
      <c r="A126" s="353"/>
      <c r="B126" s="353"/>
      <c r="C126" s="353"/>
      <c r="D126" s="353"/>
      <c r="E126" s="353"/>
      <c r="F126" s="353"/>
      <c r="G126" s="353"/>
      <c r="H126" s="353"/>
      <c r="I126" s="353"/>
      <c r="J126" s="353"/>
      <c r="K126" s="353"/>
      <c r="L126" s="353"/>
      <c r="M126" s="353"/>
      <c r="N126" s="353"/>
      <c r="O126" s="353"/>
      <c r="P126" s="353"/>
      <c r="Q126" s="353"/>
      <c r="R126" s="353"/>
      <c r="S126" s="353"/>
      <c r="T126" s="353"/>
      <c r="U126" s="353"/>
      <c r="V126" s="353"/>
      <c r="W126" s="353"/>
      <c r="X126" s="353"/>
      <c r="Y126" s="353"/>
      <c r="Z126" s="353"/>
      <c r="AA126" s="353"/>
      <c r="AB126" s="353"/>
      <c r="AC126" s="353"/>
      <c r="AD126" s="353"/>
      <c r="AE126" s="353"/>
      <c r="AF126" s="353"/>
      <c r="AG126" s="353"/>
      <c r="AH126" s="353"/>
      <c r="AI126" s="353"/>
      <c r="AJ126" s="353"/>
      <c r="AK126" s="353"/>
      <c r="AL126" s="353"/>
      <c r="AM126" s="353"/>
      <c r="AN126" s="353"/>
      <c r="AO126" s="353"/>
      <c r="AP126" s="353"/>
      <c r="AQ126" s="353"/>
      <c r="AR126" s="353"/>
      <c r="AS126" s="353"/>
      <c r="AT126" s="353"/>
    </row>
    <row r="127" spans="1:46" ht="17.399999999999999">
      <c r="A127" s="353"/>
      <c r="B127" s="353"/>
      <c r="C127" s="353"/>
      <c r="D127" s="353"/>
      <c r="E127" s="353"/>
      <c r="F127" s="353"/>
      <c r="G127" s="353"/>
      <c r="H127" s="353"/>
      <c r="I127" s="353"/>
      <c r="J127" s="353"/>
      <c r="K127" s="353"/>
      <c r="L127" s="353"/>
      <c r="M127" s="353"/>
      <c r="N127" s="353"/>
      <c r="O127" s="353"/>
      <c r="P127" s="353"/>
      <c r="Q127" s="353"/>
      <c r="R127" s="353"/>
      <c r="S127" s="353"/>
      <c r="T127" s="353"/>
      <c r="U127" s="353"/>
      <c r="V127" s="353"/>
      <c r="W127" s="353"/>
      <c r="X127" s="353"/>
      <c r="Y127" s="353"/>
      <c r="Z127" s="353"/>
      <c r="AA127" s="353"/>
      <c r="AB127" s="353"/>
      <c r="AC127" s="353"/>
      <c r="AD127" s="353"/>
      <c r="AE127" s="353"/>
      <c r="AF127" s="353"/>
      <c r="AG127" s="353"/>
      <c r="AH127" s="353"/>
      <c r="AI127" s="353"/>
      <c r="AJ127" s="353"/>
      <c r="AK127" s="353"/>
      <c r="AL127" s="353"/>
      <c r="AM127" s="353"/>
      <c r="AN127" s="353"/>
      <c r="AO127" s="353"/>
      <c r="AP127" s="353"/>
      <c r="AQ127" s="353"/>
      <c r="AR127" s="353"/>
      <c r="AS127" s="353"/>
      <c r="AT127" s="353"/>
    </row>
    <row r="128" spans="1:46" ht="17.399999999999999">
      <c r="A128" s="353"/>
      <c r="B128" s="353"/>
      <c r="C128" s="353"/>
      <c r="D128" s="353"/>
      <c r="E128" s="353"/>
      <c r="F128" s="353"/>
      <c r="G128" s="353"/>
      <c r="H128" s="353"/>
      <c r="I128" s="353"/>
      <c r="J128" s="353"/>
      <c r="K128" s="353"/>
      <c r="L128" s="353"/>
      <c r="M128" s="353"/>
      <c r="N128" s="353"/>
      <c r="O128" s="353"/>
      <c r="P128" s="353"/>
      <c r="Q128" s="353"/>
      <c r="R128" s="353"/>
      <c r="S128" s="353"/>
      <c r="T128" s="353"/>
      <c r="U128" s="353"/>
      <c r="V128" s="353"/>
      <c r="W128" s="353"/>
      <c r="X128" s="353"/>
      <c r="Y128" s="353"/>
      <c r="Z128" s="353"/>
      <c r="AA128" s="353"/>
      <c r="AB128" s="353"/>
      <c r="AC128" s="353"/>
      <c r="AD128" s="353"/>
      <c r="AE128" s="353"/>
      <c r="AF128" s="353"/>
      <c r="AG128" s="353"/>
      <c r="AH128" s="353"/>
      <c r="AI128" s="353"/>
      <c r="AJ128" s="353"/>
      <c r="AK128" s="353"/>
      <c r="AL128" s="353"/>
      <c r="AM128" s="353"/>
      <c r="AN128" s="353"/>
      <c r="AO128" s="353"/>
      <c r="AP128" s="353"/>
      <c r="AQ128" s="353"/>
      <c r="AR128" s="353"/>
      <c r="AS128" s="353"/>
      <c r="AT128" s="353"/>
    </row>
    <row r="129" spans="1:46" ht="17.399999999999999">
      <c r="A129" s="353"/>
      <c r="B129" s="353"/>
      <c r="C129" s="353"/>
      <c r="D129" s="353"/>
      <c r="E129" s="353"/>
      <c r="F129" s="353"/>
      <c r="G129" s="353"/>
      <c r="H129" s="353"/>
      <c r="I129" s="353"/>
      <c r="J129" s="353"/>
      <c r="K129" s="353"/>
      <c r="L129" s="353"/>
      <c r="M129" s="353"/>
      <c r="N129" s="353"/>
      <c r="O129" s="353"/>
      <c r="P129" s="353"/>
      <c r="Q129" s="353"/>
      <c r="R129" s="353"/>
      <c r="S129" s="353"/>
      <c r="T129" s="353"/>
      <c r="U129" s="353"/>
      <c r="V129" s="353"/>
      <c r="W129" s="353"/>
      <c r="X129" s="353"/>
      <c r="Y129" s="353"/>
      <c r="Z129" s="353"/>
      <c r="AA129" s="353"/>
      <c r="AB129" s="353"/>
      <c r="AC129" s="353"/>
      <c r="AD129" s="353"/>
      <c r="AE129" s="353"/>
      <c r="AF129" s="353"/>
      <c r="AG129" s="353"/>
      <c r="AH129" s="353"/>
      <c r="AI129" s="353"/>
      <c r="AJ129" s="353"/>
      <c r="AK129" s="353"/>
      <c r="AL129" s="353"/>
      <c r="AM129" s="353"/>
      <c r="AN129" s="353"/>
      <c r="AO129" s="353"/>
      <c r="AP129" s="353"/>
      <c r="AQ129" s="353"/>
      <c r="AR129" s="353"/>
      <c r="AS129" s="353"/>
      <c r="AT129" s="353"/>
    </row>
    <row r="130" spans="1:46" ht="17.399999999999999">
      <c r="A130" s="353"/>
      <c r="B130" s="353"/>
      <c r="C130" s="353"/>
      <c r="D130" s="353"/>
      <c r="E130" s="353"/>
      <c r="F130" s="353"/>
      <c r="G130" s="353"/>
      <c r="H130" s="353"/>
      <c r="I130" s="353"/>
      <c r="J130" s="353"/>
      <c r="K130" s="353"/>
      <c r="L130" s="353"/>
      <c r="M130" s="353"/>
      <c r="N130" s="353"/>
      <c r="O130" s="353"/>
      <c r="P130" s="353"/>
      <c r="Q130" s="353"/>
      <c r="R130" s="353"/>
      <c r="S130" s="353"/>
      <c r="T130" s="353"/>
      <c r="U130" s="353"/>
      <c r="V130" s="353"/>
      <c r="W130" s="353"/>
      <c r="X130" s="353"/>
      <c r="Y130" s="353"/>
      <c r="Z130" s="353"/>
      <c r="AA130" s="353"/>
      <c r="AB130" s="353"/>
      <c r="AC130" s="353"/>
      <c r="AD130" s="353"/>
      <c r="AE130" s="353"/>
      <c r="AF130" s="353"/>
      <c r="AG130" s="353"/>
      <c r="AH130" s="353"/>
      <c r="AI130" s="353"/>
      <c r="AJ130" s="353"/>
      <c r="AK130" s="353"/>
      <c r="AL130" s="353"/>
      <c r="AM130" s="353"/>
      <c r="AN130" s="353"/>
      <c r="AO130" s="353"/>
      <c r="AP130" s="353"/>
      <c r="AQ130" s="353"/>
      <c r="AR130" s="353"/>
      <c r="AS130" s="353"/>
      <c r="AT130" s="353"/>
    </row>
    <row r="131" spans="1:46" ht="17.399999999999999">
      <c r="A131" s="353"/>
      <c r="B131" s="353"/>
      <c r="C131" s="353"/>
      <c r="D131" s="353"/>
      <c r="E131" s="353"/>
      <c r="F131" s="353"/>
      <c r="G131" s="353"/>
      <c r="H131" s="353"/>
      <c r="I131" s="353"/>
      <c r="J131" s="353"/>
      <c r="K131" s="353"/>
      <c r="L131" s="353"/>
      <c r="M131" s="353"/>
      <c r="N131" s="353"/>
      <c r="O131" s="353"/>
      <c r="P131" s="353"/>
      <c r="Q131" s="353"/>
      <c r="R131" s="353"/>
      <c r="S131" s="353"/>
      <c r="T131" s="353"/>
      <c r="U131" s="353"/>
      <c r="V131" s="353"/>
      <c r="W131" s="353"/>
      <c r="X131" s="353"/>
      <c r="Y131" s="353"/>
      <c r="Z131" s="353"/>
      <c r="AA131" s="353"/>
      <c r="AB131" s="353"/>
      <c r="AC131" s="353"/>
      <c r="AD131" s="353"/>
      <c r="AE131" s="353"/>
      <c r="AF131" s="353"/>
      <c r="AG131" s="353"/>
      <c r="AH131" s="353"/>
      <c r="AI131" s="353"/>
      <c r="AJ131" s="353"/>
      <c r="AK131" s="353"/>
      <c r="AL131" s="353"/>
      <c r="AM131" s="353"/>
      <c r="AN131" s="353"/>
      <c r="AO131" s="353"/>
      <c r="AP131" s="353"/>
      <c r="AQ131" s="353"/>
      <c r="AR131" s="353"/>
      <c r="AS131" s="353"/>
      <c r="AT131" s="353"/>
    </row>
    <row r="132" spans="1:46" ht="17.399999999999999">
      <c r="A132" s="353"/>
      <c r="B132" s="353"/>
      <c r="C132" s="353"/>
      <c r="D132" s="353"/>
      <c r="E132" s="353"/>
      <c r="F132" s="353"/>
      <c r="G132" s="353"/>
      <c r="H132" s="353"/>
      <c r="I132" s="353"/>
      <c r="J132" s="353"/>
      <c r="K132" s="353"/>
      <c r="L132" s="353"/>
      <c r="M132" s="353"/>
      <c r="N132" s="353"/>
      <c r="O132" s="353"/>
      <c r="P132" s="353"/>
      <c r="Q132" s="353"/>
      <c r="R132" s="353"/>
      <c r="S132" s="353"/>
      <c r="T132" s="353"/>
      <c r="U132" s="353"/>
      <c r="V132" s="353"/>
      <c r="W132" s="353"/>
      <c r="X132" s="353"/>
      <c r="Y132" s="353"/>
      <c r="Z132" s="353"/>
      <c r="AA132" s="353"/>
      <c r="AB132" s="353"/>
      <c r="AC132" s="353"/>
      <c r="AD132" s="353"/>
      <c r="AE132" s="353"/>
      <c r="AF132" s="353"/>
      <c r="AG132" s="353"/>
      <c r="AH132" s="353"/>
      <c r="AI132" s="353"/>
      <c r="AJ132" s="353"/>
      <c r="AK132" s="353"/>
      <c r="AL132" s="353"/>
      <c r="AM132" s="353"/>
      <c r="AN132" s="353"/>
      <c r="AO132" s="353"/>
      <c r="AP132" s="353"/>
      <c r="AQ132" s="353"/>
      <c r="AR132" s="353"/>
      <c r="AS132" s="353"/>
      <c r="AT132" s="353"/>
    </row>
    <row r="133" spans="1:46" ht="17.399999999999999">
      <c r="A133" s="353"/>
      <c r="B133" s="353"/>
      <c r="C133" s="353"/>
      <c r="D133" s="353"/>
      <c r="E133" s="353"/>
      <c r="F133" s="353"/>
      <c r="G133" s="353"/>
      <c r="H133" s="353"/>
      <c r="I133" s="353"/>
      <c r="J133" s="353"/>
      <c r="K133" s="353"/>
      <c r="L133" s="353"/>
      <c r="M133" s="353"/>
      <c r="N133" s="353"/>
      <c r="O133" s="353"/>
      <c r="P133" s="353"/>
      <c r="Q133" s="353"/>
      <c r="R133" s="353"/>
      <c r="S133" s="353"/>
      <c r="T133" s="353"/>
      <c r="U133" s="353"/>
      <c r="V133" s="353"/>
      <c r="W133" s="353"/>
      <c r="X133" s="353"/>
      <c r="Y133" s="353"/>
      <c r="Z133" s="353"/>
      <c r="AA133" s="353"/>
      <c r="AB133" s="353"/>
      <c r="AC133" s="353"/>
      <c r="AD133" s="353"/>
      <c r="AE133" s="353"/>
      <c r="AF133" s="353"/>
      <c r="AG133" s="353"/>
      <c r="AH133" s="353"/>
      <c r="AI133" s="353"/>
      <c r="AJ133" s="353"/>
      <c r="AK133" s="353"/>
      <c r="AL133" s="353"/>
      <c r="AM133" s="353"/>
      <c r="AN133" s="353"/>
      <c r="AO133" s="353"/>
      <c r="AP133" s="353"/>
      <c r="AQ133" s="353"/>
      <c r="AR133" s="353"/>
      <c r="AS133" s="353"/>
      <c r="AT133" s="353"/>
    </row>
    <row r="134" spans="1:46" ht="17.399999999999999">
      <c r="A134" s="353"/>
      <c r="B134" s="353"/>
      <c r="C134" s="353"/>
      <c r="D134" s="353"/>
      <c r="E134" s="353"/>
      <c r="F134" s="353"/>
      <c r="G134" s="353"/>
      <c r="H134" s="353"/>
      <c r="I134" s="353"/>
      <c r="J134" s="353"/>
      <c r="K134" s="353"/>
      <c r="L134" s="353"/>
      <c r="M134" s="353"/>
      <c r="N134" s="353"/>
      <c r="O134" s="353"/>
      <c r="P134" s="353"/>
      <c r="Q134" s="353"/>
      <c r="R134" s="353"/>
      <c r="S134" s="353"/>
      <c r="T134" s="353"/>
      <c r="U134" s="353"/>
      <c r="V134" s="353"/>
      <c r="W134" s="353"/>
      <c r="X134" s="353"/>
      <c r="Y134" s="353"/>
      <c r="Z134" s="353"/>
      <c r="AA134" s="353"/>
      <c r="AB134" s="353"/>
      <c r="AC134" s="353"/>
      <c r="AD134" s="353"/>
      <c r="AE134" s="353"/>
      <c r="AF134" s="353"/>
      <c r="AG134" s="353"/>
      <c r="AH134" s="353"/>
      <c r="AI134" s="353"/>
      <c r="AJ134" s="353"/>
      <c r="AK134" s="353"/>
      <c r="AL134" s="353"/>
      <c r="AM134" s="353"/>
      <c r="AN134" s="353"/>
      <c r="AO134" s="353"/>
      <c r="AP134" s="353"/>
      <c r="AQ134" s="353"/>
      <c r="AR134" s="353"/>
      <c r="AS134" s="353"/>
      <c r="AT134" s="353"/>
    </row>
    <row r="135" spans="1:46" ht="17.399999999999999">
      <c r="A135" s="353"/>
      <c r="B135" s="353"/>
      <c r="C135" s="353"/>
      <c r="D135" s="353"/>
      <c r="E135" s="353"/>
      <c r="F135" s="353"/>
      <c r="G135" s="353"/>
      <c r="H135" s="353"/>
      <c r="I135" s="353"/>
      <c r="J135" s="353"/>
      <c r="K135" s="353"/>
      <c r="L135" s="353"/>
      <c r="M135" s="353"/>
      <c r="N135" s="353"/>
      <c r="O135" s="353"/>
      <c r="P135" s="353"/>
      <c r="Q135" s="353"/>
      <c r="R135" s="353"/>
      <c r="S135" s="353"/>
      <c r="T135" s="353"/>
      <c r="U135" s="353"/>
      <c r="V135" s="353"/>
      <c r="W135" s="353"/>
      <c r="X135" s="353"/>
      <c r="Y135" s="353"/>
      <c r="Z135" s="353"/>
      <c r="AA135" s="353"/>
      <c r="AB135" s="353"/>
      <c r="AC135" s="353"/>
      <c r="AD135" s="353"/>
      <c r="AE135" s="353"/>
      <c r="AF135" s="353"/>
      <c r="AG135" s="353"/>
      <c r="AH135" s="353"/>
      <c r="AI135" s="353"/>
      <c r="AJ135" s="353"/>
      <c r="AK135" s="353"/>
      <c r="AL135" s="353"/>
      <c r="AM135" s="353"/>
      <c r="AN135" s="353"/>
      <c r="AO135" s="353"/>
      <c r="AP135" s="353"/>
      <c r="AQ135" s="353"/>
      <c r="AR135" s="353"/>
      <c r="AS135" s="353"/>
      <c r="AT135" s="353"/>
    </row>
    <row r="136" spans="1:46" ht="17.399999999999999">
      <c r="A136" s="353"/>
      <c r="B136" s="353"/>
      <c r="C136" s="353"/>
      <c r="D136" s="353"/>
      <c r="E136" s="353"/>
      <c r="F136" s="353"/>
      <c r="G136" s="353"/>
      <c r="H136" s="353"/>
      <c r="I136" s="353"/>
      <c r="J136" s="353"/>
      <c r="K136" s="353"/>
      <c r="L136" s="353"/>
      <c r="M136" s="353"/>
      <c r="N136" s="353"/>
      <c r="O136" s="353"/>
      <c r="P136" s="353"/>
      <c r="Q136" s="353"/>
      <c r="R136" s="353"/>
      <c r="S136" s="353"/>
      <c r="T136" s="353"/>
      <c r="U136" s="353"/>
      <c r="V136" s="353"/>
      <c r="W136" s="353"/>
      <c r="X136" s="353"/>
      <c r="Y136" s="353"/>
      <c r="Z136" s="353"/>
      <c r="AA136" s="353"/>
      <c r="AB136" s="353"/>
      <c r="AC136" s="353"/>
      <c r="AD136" s="353"/>
      <c r="AE136" s="353"/>
      <c r="AF136" s="353"/>
      <c r="AG136" s="353"/>
      <c r="AH136" s="353"/>
      <c r="AI136" s="353"/>
      <c r="AJ136" s="353"/>
      <c r="AK136" s="353"/>
      <c r="AL136" s="353"/>
      <c r="AM136" s="353"/>
      <c r="AN136" s="353"/>
      <c r="AO136" s="353"/>
      <c r="AP136" s="353"/>
      <c r="AQ136" s="353"/>
      <c r="AR136" s="353"/>
      <c r="AS136" s="353"/>
      <c r="AT136" s="353"/>
    </row>
    <row r="137" spans="1:46" ht="17.399999999999999">
      <c r="A137" s="353"/>
      <c r="B137" s="353"/>
      <c r="C137" s="353"/>
      <c r="D137" s="353"/>
      <c r="E137" s="353"/>
      <c r="F137" s="353"/>
      <c r="G137" s="353"/>
      <c r="H137" s="353"/>
      <c r="I137" s="353"/>
      <c r="J137" s="353"/>
      <c r="K137" s="353"/>
      <c r="L137" s="353"/>
      <c r="M137" s="353"/>
      <c r="N137" s="353"/>
      <c r="O137" s="353"/>
      <c r="P137" s="353"/>
      <c r="Q137" s="353"/>
      <c r="R137" s="353"/>
      <c r="S137" s="353"/>
      <c r="T137" s="353"/>
      <c r="U137" s="353"/>
      <c r="V137" s="353"/>
      <c r="W137" s="353"/>
      <c r="X137" s="353"/>
      <c r="Y137" s="353"/>
      <c r="Z137" s="353"/>
      <c r="AA137" s="353"/>
      <c r="AB137" s="353"/>
      <c r="AC137" s="353"/>
      <c r="AD137" s="353"/>
      <c r="AE137" s="353"/>
      <c r="AF137" s="353"/>
      <c r="AG137" s="353"/>
      <c r="AH137" s="353"/>
      <c r="AI137" s="353"/>
      <c r="AJ137" s="353"/>
      <c r="AK137" s="353"/>
      <c r="AL137" s="353"/>
      <c r="AM137" s="353"/>
      <c r="AN137" s="353"/>
      <c r="AO137" s="353"/>
      <c r="AP137" s="353"/>
      <c r="AQ137" s="353"/>
      <c r="AR137" s="353"/>
      <c r="AS137" s="353"/>
      <c r="AT137" s="353"/>
    </row>
    <row r="138" spans="1:46" ht="17.399999999999999">
      <c r="A138" s="353"/>
      <c r="B138" s="353"/>
      <c r="C138" s="353"/>
      <c r="D138" s="353"/>
      <c r="E138" s="353"/>
      <c r="F138" s="353"/>
      <c r="G138" s="353"/>
      <c r="H138" s="353"/>
      <c r="I138" s="353"/>
      <c r="J138" s="353"/>
      <c r="K138" s="353"/>
      <c r="L138" s="353"/>
      <c r="M138" s="353"/>
      <c r="N138" s="353"/>
      <c r="O138" s="353"/>
      <c r="P138" s="353"/>
      <c r="Q138" s="353"/>
      <c r="R138" s="353"/>
      <c r="S138" s="353"/>
      <c r="T138" s="353"/>
      <c r="U138" s="353"/>
      <c r="V138" s="353"/>
      <c r="W138" s="353"/>
      <c r="X138" s="353"/>
      <c r="Y138" s="353"/>
      <c r="Z138" s="353"/>
      <c r="AA138" s="353"/>
      <c r="AB138" s="353"/>
      <c r="AC138" s="353"/>
      <c r="AD138" s="353"/>
      <c r="AE138" s="353"/>
      <c r="AF138" s="353"/>
      <c r="AG138" s="353"/>
      <c r="AH138" s="353"/>
      <c r="AI138" s="353"/>
      <c r="AJ138" s="353"/>
      <c r="AK138" s="353"/>
      <c r="AL138" s="353"/>
      <c r="AM138" s="353"/>
      <c r="AN138" s="353"/>
      <c r="AO138" s="353"/>
      <c r="AP138" s="353"/>
      <c r="AQ138" s="353"/>
      <c r="AR138" s="353"/>
      <c r="AS138" s="353"/>
      <c r="AT138" s="353"/>
    </row>
    <row r="139" spans="1:46" ht="17.399999999999999">
      <c r="A139" s="353"/>
      <c r="B139" s="353"/>
      <c r="C139" s="353"/>
      <c r="D139" s="353"/>
      <c r="E139" s="353"/>
      <c r="F139" s="353"/>
      <c r="G139" s="353"/>
      <c r="H139" s="353"/>
      <c r="I139" s="353"/>
      <c r="J139" s="353"/>
      <c r="K139" s="353"/>
      <c r="L139" s="353"/>
      <c r="M139" s="353"/>
      <c r="N139" s="353"/>
      <c r="O139" s="353"/>
      <c r="P139" s="353"/>
      <c r="Q139" s="353"/>
      <c r="R139" s="353"/>
      <c r="S139" s="353"/>
      <c r="T139" s="353"/>
      <c r="U139" s="353"/>
      <c r="V139" s="353"/>
      <c r="W139" s="353"/>
      <c r="X139" s="353"/>
      <c r="Y139" s="353"/>
      <c r="Z139" s="353"/>
      <c r="AA139" s="353"/>
      <c r="AB139" s="353"/>
      <c r="AC139" s="353"/>
      <c r="AD139" s="353"/>
      <c r="AE139" s="353"/>
      <c r="AF139" s="353"/>
      <c r="AG139" s="353"/>
      <c r="AH139" s="353"/>
      <c r="AI139" s="353"/>
      <c r="AJ139" s="353"/>
      <c r="AK139" s="353"/>
      <c r="AL139" s="353"/>
      <c r="AM139" s="353"/>
      <c r="AN139" s="353"/>
      <c r="AO139" s="353"/>
      <c r="AP139" s="353"/>
      <c r="AQ139" s="353"/>
      <c r="AR139" s="353"/>
      <c r="AS139" s="353"/>
      <c r="AT139" s="353"/>
    </row>
    <row r="140" spans="1:46" ht="17.399999999999999">
      <c r="A140" s="353"/>
      <c r="B140" s="353"/>
      <c r="C140" s="353"/>
      <c r="D140" s="353"/>
      <c r="E140" s="353"/>
      <c r="F140" s="353"/>
      <c r="G140" s="353"/>
      <c r="H140" s="353"/>
      <c r="I140" s="353"/>
      <c r="J140" s="353"/>
      <c r="K140" s="353"/>
      <c r="L140" s="353"/>
      <c r="M140" s="353"/>
      <c r="N140" s="353"/>
      <c r="O140" s="353"/>
      <c r="P140" s="353"/>
      <c r="Q140" s="353"/>
      <c r="R140" s="353"/>
      <c r="S140" s="353"/>
      <c r="T140" s="353"/>
      <c r="U140" s="353"/>
      <c r="V140" s="353"/>
      <c r="W140" s="353"/>
      <c r="X140" s="353"/>
      <c r="Y140" s="353"/>
      <c r="Z140" s="353"/>
      <c r="AA140" s="353"/>
      <c r="AB140" s="353"/>
      <c r="AC140" s="353"/>
      <c r="AD140" s="353"/>
      <c r="AE140" s="353"/>
      <c r="AF140" s="353"/>
      <c r="AG140" s="353"/>
      <c r="AH140" s="353"/>
      <c r="AI140" s="353"/>
      <c r="AJ140" s="353"/>
      <c r="AK140" s="353"/>
      <c r="AL140" s="353"/>
      <c r="AM140" s="353"/>
      <c r="AN140" s="353"/>
      <c r="AO140" s="353"/>
      <c r="AP140" s="353"/>
      <c r="AQ140" s="353"/>
      <c r="AR140" s="353"/>
      <c r="AS140" s="353"/>
      <c r="AT140" s="353"/>
    </row>
    <row r="141" spans="1:46" ht="17.399999999999999">
      <c r="A141" s="353"/>
      <c r="B141" s="353"/>
      <c r="C141" s="353"/>
      <c r="D141" s="353"/>
      <c r="E141" s="353"/>
      <c r="F141" s="353"/>
      <c r="G141" s="353"/>
      <c r="H141" s="353"/>
      <c r="I141" s="353"/>
      <c r="J141" s="353"/>
      <c r="K141" s="353"/>
      <c r="L141" s="353"/>
      <c r="M141" s="353"/>
      <c r="N141" s="353"/>
      <c r="O141" s="353"/>
      <c r="P141" s="353"/>
      <c r="Q141" s="353"/>
      <c r="R141" s="353"/>
      <c r="S141" s="353"/>
      <c r="T141" s="353"/>
      <c r="U141" s="353"/>
      <c r="V141" s="353"/>
      <c r="W141" s="353"/>
      <c r="X141" s="353"/>
      <c r="Y141" s="353"/>
      <c r="Z141" s="353"/>
      <c r="AA141" s="353"/>
      <c r="AB141" s="353"/>
      <c r="AC141" s="353"/>
      <c r="AD141" s="353"/>
      <c r="AE141" s="353"/>
      <c r="AF141" s="353"/>
      <c r="AG141" s="353"/>
      <c r="AH141" s="353"/>
      <c r="AI141" s="353"/>
      <c r="AJ141" s="353"/>
      <c r="AK141" s="353"/>
      <c r="AL141" s="353"/>
      <c r="AM141" s="353"/>
      <c r="AN141" s="353"/>
      <c r="AO141" s="353"/>
      <c r="AP141" s="353"/>
      <c r="AQ141" s="353"/>
      <c r="AR141" s="353"/>
      <c r="AS141" s="353"/>
      <c r="AT141" s="353"/>
    </row>
    <row r="142" spans="1:46" ht="17.399999999999999">
      <c r="A142" s="353"/>
      <c r="B142" s="353"/>
      <c r="C142" s="353"/>
      <c r="D142" s="353"/>
      <c r="E142" s="353"/>
      <c r="F142" s="353"/>
      <c r="G142" s="353"/>
      <c r="H142" s="353"/>
      <c r="I142" s="353"/>
      <c r="J142" s="353"/>
      <c r="K142" s="353"/>
      <c r="L142" s="353"/>
      <c r="M142" s="353"/>
      <c r="N142" s="353"/>
      <c r="O142" s="353"/>
      <c r="P142" s="353"/>
      <c r="Q142" s="353"/>
      <c r="R142" s="353"/>
      <c r="S142" s="353"/>
      <c r="T142" s="353"/>
      <c r="U142" s="353"/>
      <c r="V142" s="353"/>
      <c r="W142" s="353"/>
      <c r="X142" s="353"/>
      <c r="Y142" s="353"/>
      <c r="Z142" s="353"/>
      <c r="AA142" s="353"/>
      <c r="AB142" s="353"/>
      <c r="AC142" s="353"/>
      <c r="AD142" s="353"/>
      <c r="AE142" s="353"/>
      <c r="AF142" s="353"/>
      <c r="AG142" s="353"/>
      <c r="AH142" s="353"/>
      <c r="AI142" s="353"/>
      <c r="AJ142" s="353"/>
      <c r="AK142" s="353"/>
      <c r="AL142" s="353"/>
      <c r="AM142" s="353"/>
      <c r="AN142" s="353"/>
      <c r="AO142" s="353"/>
      <c r="AP142" s="353"/>
      <c r="AQ142" s="353"/>
      <c r="AR142" s="353"/>
      <c r="AS142" s="353"/>
      <c r="AT142" s="353"/>
    </row>
    <row r="143" spans="1:46" ht="17.399999999999999">
      <c r="A143" s="353"/>
      <c r="B143" s="353"/>
      <c r="C143" s="353"/>
      <c r="D143" s="353"/>
      <c r="E143" s="353"/>
      <c r="F143" s="353"/>
      <c r="G143" s="353"/>
      <c r="H143" s="353"/>
      <c r="I143" s="353"/>
      <c r="J143" s="353"/>
      <c r="K143" s="353"/>
      <c r="L143" s="353"/>
      <c r="M143" s="353"/>
      <c r="N143" s="353"/>
      <c r="O143" s="353"/>
      <c r="P143" s="353"/>
      <c r="Q143" s="353"/>
      <c r="R143" s="353"/>
      <c r="S143" s="353"/>
      <c r="T143" s="353"/>
      <c r="U143" s="353"/>
      <c r="V143" s="353"/>
      <c r="W143" s="353"/>
      <c r="X143" s="353"/>
      <c r="Y143" s="353"/>
      <c r="Z143" s="353"/>
      <c r="AA143" s="353"/>
      <c r="AB143" s="353"/>
      <c r="AC143" s="353"/>
      <c r="AD143" s="353"/>
      <c r="AE143" s="353"/>
      <c r="AF143" s="353"/>
      <c r="AG143" s="353"/>
      <c r="AH143" s="353"/>
      <c r="AI143" s="353"/>
      <c r="AJ143" s="353"/>
      <c r="AK143" s="353"/>
      <c r="AL143" s="353"/>
      <c r="AM143" s="353"/>
      <c r="AN143" s="353"/>
      <c r="AO143" s="353"/>
      <c r="AP143" s="353"/>
      <c r="AQ143" s="353"/>
      <c r="AR143" s="353"/>
      <c r="AS143" s="353"/>
      <c r="AT143" s="353"/>
    </row>
    <row r="144" spans="1:46" ht="17.399999999999999">
      <c r="A144" s="353"/>
      <c r="B144" s="353"/>
      <c r="C144" s="353"/>
      <c r="D144" s="353"/>
      <c r="E144" s="353"/>
      <c r="F144" s="353"/>
      <c r="G144" s="353"/>
      <c r="H144" s="353"/>
      <c r="I144" s="353"/>
      <c r="J144" s="353"/>
      <c r="K144" s="353"/>
      <c r="L144" s="353"/>
      <c r="M144" s="353"/>
      <c r="N144" s="353"/>
      <c r="O144" s="353"/>
      <c r="P144" s="353"/>
      <c r="Q144" s="353"/>
      <c r="R144" s="353"/>
      <c r="S144" s="353"/>
      <c r="T144" s="353"/>
      <c r="U144" s="353"/>
      <c r="V144" s="353"/>
      <c r="W144" s="353"/>
      <c r="X144" s="353"/>
      <c r="Y144" s="353"/>
      <c r="Z144" s="353"/>
      <c r="AA144" s="353"/>
      <c r="AB144" s="353"/>
      <c r="AC144" s="353"/>
      <c r="AD144" s="353"/>
      <c r="AE144" s="353"/>
      <c r="AF144" s="353"/>
      <c r="AG144" s="353"/>
      <c r="AH144" s="353"/>
      <c r="AI144" s="353"/>
      <c r="AJ144" s="353"/>
      <c r="AK144" s="353"/>
      <c r="AL144" s="353"/>
      <c r="AM144" s="353"/>
      <c r="AN144" s="353"/>
      <c r="AO144" s="353"/>
      <c r="AP144" s="353"/>
      <c r="AQ144" s="353"/>
      <c r="AR144" s="353"/>
      <c r="AS144" s="353"/>
      <c r="AT144" s="353"/>
    </row>
    <row r="145" spans="1:46" ht="17.399999999999999">
      <c r="A145" s="353"/>
      <c r="B145" s="353"/>
      <c r="C145" s="353"/>
      <c r="D145" s="353"/>
      <c r="E145" s="353"/>
      <c r="F145" s="353"/>
      <c r="G145" s="353"/>
      <c r="H145" s="353"/>
      <c r="I145" s="353"/>
      <c r="J145" s="353"/>
      <c r="K145" s="353"/>
      <c r="L145" s="353"/>
      <c r="M145" s="353"/>
      <c r="N145" s="353"/>
      <c r="O145" s="353"/>
      <c r="P145" s="353"/>
      <c r="Q145" s="353"/>
      <c r="R145" s="353"/>
      <c r="S145" s="353"/>
      <c r="T145" s="353"/>
      <c r="U145" s="353"/>
      <c r="V145" s="353"/>
      <c r="W145" s="353"/>
      <c r="X145" s="353"/>
      <c r="Y145" s="353"/>
      <c r="Z145" s="353"/>
      <c r="AA145" s="353"/>
      <c r="AB145" s="353"/>
      <c r="AC145" s="353"/>
      <c r="AD145" s="353"/>
      <c r="AE145" s="353"/>
      <c r="AF145" s="353"/>
      <c r="AG145" s="353"/>
      <c r="AH145" s="353"/>
      <c r="AI145" s="353"/>
      <c r="AJ145" s="353"/>
      <c r="AK145" s="353"/>
      <c r="AL145" s="353"/>
      <c r="AM145" s="353"/>
      <c r="AN145" s="353"/>
      <c r="AO145" s="353"/>
      <c r="AP145" s="353"/>
      <c r="AQ145" s="353"/>
      <c r="AR145" s="353"/>
      <c r="AS145" s="353"/>
      <c r="AT145" s="353"/>
    </row>
    <row r="146" spans="1:46" ht="17.399999999999999">
      <c r="A146" s="353"/>
      <c r="B146" s="353"/>
      <c r="C146" s="353"/>
      <c r="D146" s="353"/>
      <c r="E146" s="353"/>
      <c r="F146" s="353"/>
      <c r="G146" s="353"/>
      <c r="H146" s="353"/>
      <c r="I146" s="353"/>
      <c r="J146" s="353"/>
      <c r="K146" s="353"/>
      <c r="L146" s="353"/>
      <c r="M146" s="353"/>
      <c r="N146" s="353"/>
      <c r="O146" s="353"/>
      <c r="P146" s="353"/>
      <c r="Q146" s="353"/>
      <c r="R146" s="353"/>
      <c r="S146" s="353"/>
      <c r="T146" s="353"/>
      <c r="U146" s="353"/>
      <c r="V146" s="353"/>
      <c r="W146" s="353"/>
      <c r="X146" s="353"/>
      <c r="Y146" s="353"/>
      <c r="Z146" s="353"/>
      <c r="AA146" s="353"/>
      <c r="AB146" s="353"/>
      <c r="AC146" s="353"/>
      <c r="AD146" s="353"/>
      <c r="AE146" s="353"/>
      <c r="AF146" s="353"/>
      <c r="AG146" s="353"/>
      <c r="AH146" s="353"/>
      <c r="AI146" s="353"/>
      <c r="AJ146" s="353"/>
      <c r="AK146" s="353"/>
      <c r="AL146" s="353"/>
      <c r="AM146" s="353"/>
      <c r="AN146" s="353"/>
      <c r="AO146" s="353"/>
      <c r="AP146" s="353"/>
      <c r="AQ146" s="353"/>
      <c r="AR146" s="353"/>
      <c r="AS146" s="353"/>
      <c r="AT146" s="353"/>
    </row>
    <row r="147" spans="1:46" ht="17.399999999999999">
      <c r="A147" s="353"/>
      <c r="B147" s="353"/>
      <c r="C147" s="353"/>
      <c r="D147" s="353"/>
      <c r="E147" s="353"/>
      <c r="F147" s="353"/>
      <c r="G147" s="353"/>
      <c r="H147" s="353"/>
      <c r="I147" s="353"/>
      <c r="J147" s="353"/>
      <c r="K147" s="353"/>
      <c r="L147" s="353"/>
      <c r="M147" s="353"/>
      <c r="N147" s="353"/>
      <c r="O147" s="353"/>
      <c r="P147" s="353"/>
      <c r="Q147" s="353"/>
      <c r="R147" s="353"/>
      <c r="S147" s="353"/>
      <c r="T147" s="353"/>
      <c r="U147" s="353"/>
      <c r="V147" s="353"/>
      <c r="W147" s="353"/>
      <c r="X147" s="353"/>
      <c r="Y147" s="353"/>
      <c r="Z147" s="353"/>
      <c r="AA147" s="353"/>
      <c r="AB147" s="353"/>
      <c r="AC147" s="353"/>
      <c r="AD147" s="353"/>
      <c r="AE147" s="353"/>
      <c r="AF147" s="353"/>
      <c r="AG147" s="353"/>
      <c r="AH147" s="353"/>
      <c r="AI147" s="353"/>
      <c r="AJ147" s="353"/>
      <c r="AK147" s="353"/>
      <c r="AL147" s="353"/>
      <c r="AM147" s="353"/>
      <c r="AN147" s="353"/>
      <c r="AO147" s="353"/>
      <c r="AP147" s="353"/>
      <c r="AQ147" s="353"/>
      <c r="AR147" s="353"/>
      <c r="AS147" s="353"/>
      <c r="AT147" s="353"/>
    </row>
    <row r="148" spans="1:46" ht="17.399999999999999">
      <c r="A148" s="353"/>
      <c r="B148" s="353"/>
      <c r="C148" s="353"/>
      <c r="D148" s="353"/>
      <c r="E148" s="353"/>
      <c r="F148" s="353"/>
      <c r="G148" s="353"/>
      <c r="H148" s="353"/>
      <c r="I148" s="353"/>
      <c r="J148" s="353"/>
      <c r="K148" s="353"/>
      <c r="L148" s="353"/>
      <c r="M148" s="353"/>
      <c r="N148" s="353"/>
      <c r="O148" s="353"/>
      <c r="P148" s="353"/>
      <c r="Q148" s="353"/>
      <c r="R148" s="353"/>
      <c r="S148" s="353"/>
      <c r="T148" s="353"/>
      <c r="U148" s="353"/>
      <c r="V148" s="353"/>
      <c r="W148" s="353"/>
      <c r="X148" s="353"/>
      <c r="Y148" s="353"/>
      <c r="Z148" s="353"/>
      <c r="AA148" s="353"/>
      <c r="AB148" s="353"/>
      <c r="AC148" s="353"/>
      <c r="AD148" s="353"/>
      <c r="AE148" s="353"/>
      <c r="AF148" s="353"/>
      <c r="AG148" s="353"/>
      <c r="AH148" s="353"/>
      <c r="AI148" s="353"/>
      <c r="AJ148" s="353"/>
      <c r="AK148" s="353"/>
      <c r="AL148" s="353"/>
      <c r="AM148" s="353"/>
      <c r="AN148" s="353"/>
      <c r="AO148" s="353"/>
      <c r="AP148" s="353"/>
      <c r="AQ148" s="353"/>
      <c r="AR148" s="353"/>
      <c r="AS148" s="353"/>
      <c r="AT148" s="353"/>
    </row>
    <row r="149" spans="1:46" ht="17.399999999999999">
      <c r="A149" s="353"/>
      <c r="B149" s="353"/>
      <c r="C149" s="353"/>
      <c r="D149" s="353"/>
      <c r="E149" s="353"/>
      <c r="F149" s="353"/>
      <c r="G149" s="353"/>
      <c r="H149" s="353"/>
      <c r="I149" s="353"/>
      <c r="J149" s="353"/>
      <c r="K149" s="353"/>
      <c r="L149" s="353"/>
      <c r="M149" s="353"/>
      <c r="N149" s="353"/>
      <c r="O149" s="353"/>
      <c r="P149" s="353"/>
      <c r="Q149" s="353"/>
      <c r="R149" s="353"/>
      <c r="S149" s="353"/>
      <c r="T149" s="353"/>
      <c r="U149" s="353"/>
      <c r="V149" s="353"/>
      <c r="W149" s="353"/>
      <c r="X149" s="353"/>
      <c r="Y149" s="353"/>
      <c r="Z149" s="353"/>
      <c r="AA149" s="353"/>
      <c r="AB149" s="353"/>
      <c r="AC149" s="353"/>
      <c r="AD149" s="353"/>
      <c r="AE149" s="353"/>
      <c r="AF149" s="353"/>
      <c r="AG149" s="353"/>
      <c r="AH149" s="353"/>
      <c r="AI149" s="353"/>
      <c r="AJ149" s="353"/>
      <c r="AK149" s="353"/>
      <c r="AL149" s="353"/>
      <c r="AM149" s="353"/>
      <c r="AN149" s="353"/>
      <c r="AO149" s="353"/>
      <c r="AP149" s="353"/>
      <c r="AQ149" s="353"/>
      <c r="AR149" s="353"/>
      <c r="AS149" s="353"/>
      <c r="AT149" s="353"/>
    </row>
    <row r="150" spans="1:46" ht="17.399999999999999">
      <c r="A150" s="353"/>
      <c r="B150" s="353"/>
      <c r="C150" s="353"/>
      <c r="D150" s="353"/>
      <c r="E150" s="353"/>
      <c r="F150" s="353"/>
      <c r="G150" s="353"/>
      <c r="H150" s="353"/>
      <c r="I150" s="353"/>
      <c r="J150" s="353"/>
      <c r="K150" s="353"/>
      <c r="L150" s="353"/>
      <c r="M150" s="353"/>
      <c r="N150" s="353"/>
      <c r="O150" s="353"/>
      <c r="P150" s="353"/>
      <c r="Q150" s="353"/>
      <c r="R150" s="353"/>
      <c r="S150" s="353"/>
      <c r="T150" s="353"/>
      <c r="U150" s="353"/>
      <c r="V150" s="353"/>
      <c r="W150" s="353"/>
      <c r="X150" s="353"/>
      <c r="Y150" s="353"/>
      <c r="Z150" s="353"/>
      <c r="AA150" s="353"/>
      <c r="AB150" s="353"/>
      <c r="AC150" s="353"/>
      <c r="AD150" s="353"/>
      <c r="AE150" s="353"/>
      <c r="AF150" s="353"/>
      <c r="AG150" s="353"/>
      <c r="AH150" s="353"/>
      <c r="AI150" s="353"/>
      <c r="AJ150" s="353"/>
      <c r="AK150" s="353"/>
      <c r="AL150" s="353"/>
      <c r="AM150" s="353"/>
      <c r="AN150" s="353"/>
      <c r="AO150" s="353"/>
      <c r="AP150" s="353"/>
      <c r="AQ150" s="353"/>
      <c r="AR150" s="353"/>
      <c r="AS150" s="353"/>
      <c r="AT150" s="353"/>
    </row>
    <row r="151" spans="1:46" ht="17.399999999999999">
      <c r="A151" s="353"/>
      <c r="B151" s="353"/>
      <c r="C151" s="353"/>
      <c r="D151" s="353"/>
      <c r="E151" s="353"/>
      <c r="F151" s="353"/>
      <c r="G151" s="353"/>
      <c r="H151" s="353"/>
      <c r="I151" s="353"/>
      <c r="J151" s="353"/>
      <c r="K151" s="353"/>
      <c r="L151" s="353"/>
      <c r="M151" s="353"/>
      <c r="N151" s="353"/>
      <c r="O151" s="353"/>
      <c r="P151" s="353"/>
      <c r="Q151" s="353"/>
      <c r="R151" s="353"/>
      <c r="S151" s="353"/>
      <c r="T151" s="353"/>
      <c r="U151" s="353"/>
      <c r="V151" s="353"/>
      <c r="W151" s="353"/>
      <c r="X151" s="353"/>
      <c r="Y151" s="353"/>
      <c r="Z151" s="353"/>
      <c r="AA151" s="353"/>
      <c r="AB151" s="353"/>
      <c r="AC151" s="353"/>
      <c r="AD151" s="353"/>
      <c r="AE151" s="353"/>
      <c r="AF151" s="353"/>
      <c r="AG151" s="353"/>
      <c r="AH151" s="353"/>
      <c r="AI151" s="353"/>
      <c r="AJ151" s="353"/>
      <c r="AK151" s="353"/>
      <c r="AL151" s="353"/>
      <c r="AM151" s="353"/>
      <c r="AN151" s="353"/>
      <c r="AO151" s="353"/>
      <c r="AP151" s="353"/>
      <c r="AQ151" s="353"/>
      <c r="AR151" s="353"/>
      <c r="AS151" s="353"/>
      <c r="AT151" s="353"/>
    </row>
    <row r="152" spans="1:46" ht="17.399999999999999">
      <c r="A152" s="353"/>
      <c r="B152" s="353"/>
      <c r="C152" s="353"/>
      <c r="D152" s="353"/>
      <c r="E152" s="353"/>
      <c r="F152" s="353"/>
      <c r="G152" s="353"/>
      <c r="H152" s="353"/>
      <c r="I152" s="353"/>
      <c r="J152" s="353"/>
      <c r="K152" s="353"/>
      <c r="L152" s="353"/>
      <c r="M152" s="353"/>
      <c r="N152" s="353"/>
      <c r="O152" s="353"/>
      <c r="P152" s="353"/>
      <c r="Q152" s="353"/>
      <c r="R152" s="353"/>
      <c r="S152" s="353"/>
      <c r="T152" s="353"/>
      <c r="U152" s="353"/>
      <c r="V152" s="353"/>
      <c r="W152" s="353"/>
      <c r="X152" s="353"/>
      <c r="Y152" s="353"/>
      <c r="Z152" s="353"/>
      <c r="AA152" s="353"/>
      <c r="AB152" s="353"/>
      <c r="AC152" s="353"/>
      <c r="AD152" s="353"/>
      <c r="AE152" s="353"/>
      <c r="AF152" s="353"/>
      <c r="AG152" s="353"/>
      <c r="AH152" s="353"/>
      <c r="AI152" s="353"/>
      <c r="AJ152" s="353"/>
      <c r="AK152" s="353"/>
      <c r="AL152" s="353"/>
      <c r="AM152" s="353"/>
      <c r="AN152" s="353"/>
      <c r="AO152" s="353"/>
      <c r="AP152" s="353"/>
      <c r="AQ152" s="353"/>
      <c r="AR152" s="353"/>
      <c r="AS152" s="353"/>
      <c r="AT152" s="353"/>
    </row>
    <row r="153" spans="1:46" ht="17.399999999999999">
      <c r="A153" s="353"/>
      <c r="B153" s="353"/>
      <c r="C153" s="353"/>
      <c r="D153" s="353"/>
      <c r="E153" s="353"/>
      <c r="F153" s="353"/>
      <c r="G153" s="353"/>
      <c r="H153" s="353"/>
      <c r="I153" s="353"/>
      <c r="J153" s="353"/>
      <c r="K153" s="353"/>
      <c r="L153" s="353"/>
      <c r="M153" s="353"/>
      <c r="N153" s="353"/>
      <c r="O153" s="353"/>
      <c r="P153" s="353"/>
      <c r="Q153" s="353"/>
      <c r="R153" s="353"/>
      <c r="S153" s="353"/>
      <c r="T153" s="353"/>
      <c r="U153" s="353"/>
      <c r="V153" s="353"/>
      <c r="W153" s="353"/>
      <c r="X153" s="353"/>
      <c r="Y153" s="353"/>
      <c r="Z153" s="353"/>
      <c r="AA153" s="353"/>
      <c r="AB153" s="353"/>
      <c r="AC153" s="353"/>
      <c r="AD153" s="353"/>
      <c r="AE153" s="353"/>
      <c r="AF153" s="353"/>
      <c r="AG153" s="353"/>
      <c r="AH153" s="353"/>
      <c r="AI153" s="353"/>
      <c r="AJ153" s="353"/>
      <c r="AK153" s="353"/>
      <c r="AL153" s="353"/>
      <c r="AM153" s="353"/>
      <c r="AN153" s="353"/>
      <c r="AO153" s="353"/>
      <c r="AP153" s="353"/>
      <c r="AQ153" s="353"/>
      <c r="AR153" s="353"/>
      <c r="AS153" s="353"/>
      <c r="AT153" s="353"/>
    </row>
    <row r="154" spans="1:46" ht="17.399999999999999">
      <c r="A154" s="353"/>
      <c r="B154" s="353"/>
      <c r="C154" s="353"/>
      <c r="D154" s="353"/>
      <c r="E154" s="353"/>
      <c r="F154" s="353"/>
      <c r="G154" s="353"/>
      <c r="H154" s="353"/>
      <c r="I154" s="353"/>
      <c r="J154" s="353"/>
      <c r="K154" s="353"/>
      <c r="L154" s="353"/>
      <c r="M154" s="353"/>
      <c r="N154" s="353"/>
      <c r="O154" s="353"/>
      <c r="P154" s="353"/>
      <c r="Q154" s="353"/>
      <c r="R154" s="353"/>
      <c r="S154" s="353"/>
      <c r="T154" s="353"/>
      <c r="U154" s="353"/>
      <c r="V154" s="353"/>
      <c r="W154" s="353"/>
      <c r="X154" s="353"/>
      <c r="Y154" s="353"/>
      <c r="Z154" s="353"/>
      <c r="AA154" s="353"/>
      <c r="AB154" s="353"/>
      <c r="AC154" s="353"/>
      <c r="AD154" s="353"/>
      <c r="AE154" s="353"/>
      <c r="AF154" s="353"/>
      <c r="AG154" s="353"/>
      <c r="AH154" s="353"/>
      <c r="AI154" s="353"/>
      <c r="AJ154" s="353"/>
      <c r="AK154" s="353"/>
      <c r="AL154" s="353"/>
      <c r="AM154" s="353"/>
      <c r="AN154" s="353"/>
      <c r="AO154" s="353"/>
      <c r="AP154" s="353"/>
      <c r="AQ154" s="353"/>
      <c r="AR154" s="353"/>
      <c r="AS154" s="353"/>
      <c r="AT154" s="353"/>
    </row>
    <row r="155" spans="1:46" ht="17.399999999999999">
      <c r="A155" s="353"/>
      <c r="B155" s="353"/>
      <c r="C155" s="353"/>
      <c r="D155" s="353"/>
      <c r="E155" s="353"/>
      <c r="F155" s="353"/>
      <c r="G155" s="353"/>
      <c r="H155" s="353"/>
      <c r="I155" s="353"/>
      <c r="J155" s="353"/>
      <c r="K155" s="353"/>
      <c r="L155" s="353"/>
      <c r="M155" s="353"/>
      <c r="N155" s="353"/>
      <c r="O155" s="353"/>
      <c r="P155" s="353"/>
      <c r="Q155" s="353"/>
      <c r="R155" s="353"/>
      <c r="S155" s="353"/>
      <c r="T155" s="353"/>
      <c r="U155" s="353"/>
      <c r="V155" s="353"/>
      <c r="W155" s="353"/>
      <c r="X155" s="353"/>
      <c r="Y155" s="353"/>
      <c r="Z155" s="353"/>
      <c r="AA155" s="353"/>
      <c r="AB155" s="353"/>
      <c r="AC155" s="353"/>
      <c r="AD155" s="353"/>
      <c r="AE155" s="353"/>
      <c r="AF155" s="353"/>
      <c r="AG155" s="353"/>
      <c r="AH155" s="353"/>
      <c r="AI155" s="353"/>
      <c r="AJ155" s="353"/>
      <c r="AK155" s="353"/>
      <c r="AL155" s="353"/>
      <c r="AM155" s="353"/>
      <c r="AN155" s="353"/>
      <c r="AO155" s="353"/>
      <c r="AP155" s="353"/>
      <c r="AQ155" s="353"/>
      <c r="AR155" s="353"/>
      <c r="AS155" s="353"/>
      <c r="AT155" s="353"/>
    </row>
    <row r="156" spans="1:46" ht="17.399999999999999">
      <c r="A156" s="353"/>
      <c r="B156" s="353"/>
      <c r="C156" s="353"/>
      <c r="D156" s="353"/>
      <c r="E156" s="353"/>
      <c r="F156" s="353"/>
      <c r="G156" s="353"/>
      <c r="H156" s="353"/>
      <c r="I156" s="353"/>
      <c r="J156" s="353"/>
      <c r="K156" s="353"/>
      <c r="L156" s="353"/>
      <c r="M156" s="353"/>
      <c r="N156" s="353"/>
      <c r="O156" s="353"/>
      <c r="P156" s="353"/>
      <c r="Q156" s="353"/>
      <c r="R156" s="353"/>
      <c r="S156" s="353"/>
      <c r="T156" s="353"/>
      <c r="U156" s="353"/>
      <c r="V156" s="353"/>
      <c r="W156" s="353"/>
      <c r="X156" s="353"/>
      <c r="Y156" s="353"/>
      <c r="Z156" s="353"/>
      <c r="AA156" s="353"/>
      <c r="AB156" s="353"/>
      <c r="AC156" s="353"/>
      <c r="AD156" s="353"/>
      <c r="AE156" s="353"/>
      <c r="AF156" s="353"/>
      <c r="AG156" s="353"/>
      <c r="AH156" s="353"/>
      <c r="AI156" s="353"/>
      <c r="AJ156" s="353"/>
      <c r="AK156" s="353"/>
      <c r="AL156" s="353"/>
      <c r="AM156" s="353"/>
      <c r="AN156" s="353"/>
      <c r="AO156" s="353"/>
      <c r="AP156" s="353"/>
      <c r="AQ156" s="353"/>
      <c r="AR156" s="353"/>
      <c r="AS156" s="353"/>
      <c r="AT156" s="353"/>
    </row>
    <row r="157" spans="1:46" ht="17.399999999999999">
      <c r="A157" s="353"/>
      <c r="B157" s="353"/>
      <c r="C157" s="353"/>
      <c r="D157" s="353"/>
      <c r="E157" s="353"/>
      <c r="F157" s="353"/>
      <c r="G157" s="353"/>
      <c r="H157" s="353"/>
      <c r="I157" s="353"/>
      <c r="J157" s="353"/>
      <c r="K157" s="353"/>
      <c r="L157" s="353"/>
      <c r="M157" s="353"/>
      <c r="N157" s="353"/>
      <c r="O157" s="353"/>
      <c r="P157" s="353"/>
      <c r="Q157" s="353"/>
      <c r="R157" s="353"/>
      <c r="S157" s="353"/>
      <c r="T157" s="353"/>
      <c r="U157" s="353"/>
      <c r="V157" s="353"/>
      <c r="W157" s="353"/>
      <c r="X157" s="353"/>
      <c r="Y157" s="353"/>
      <c r="Z157" s="353"/>
      <c r="AA157" s="353"/>
      <c r="AB157" s="353"/>
      <c r="AC157" s="353"/>
      <c r="AD157" s="353"/>
      <c r="AE157" s="353"/>
      <c r="AF157" s="353"/>
      <c r="AG157" s="353"/>
      <c r="AH157" s="353"/>
      <c r="AI157" s="353"/>
      <c r="AJ157" s="353"/>
      <c r="AK157" s="353"/>
      <c r="AL157" s="353"/>
      <c r="AM157" s="353"/>
      <c r="AN157" s="353"/>
      <c r="AO157" s="353"/>
      <c r="AP157" s="353"/>
      <c r="AQ157" s="353"/>
      <c r="AR157" s="353"/>
      <c r="AS157" s="353"/>
      <c r="AT157" s="353"/>
    </row>
    <row r="158" spans="1:46" ht="17.399999999999999">
      <c r="A158" s="353"/>
      <c r="B158" s="353"/>
      <c r="C158" s="353"/>
      <c r="D158" s="353"/>
      <c r="E158" s="353"/>
      <c r="F158" s="353"/>
      <c r="G158" s="353"/>
      <c r="H158" s="353"/>
      <c r="I158" s="353"/>
      <c r="J158" s="353"/>
      <c r="K158" s="353"/>
      <c r="L158" s="353"/>
      <c r="M158" s="353"/>
      <c r="N158" s="353"/>
      <c r="O158" s="353"/>
      <c r="P158" s="353"/>
      <c r="Q158" s="353"/>
      <c r="R158" s="353"/>
      <c r="S158" s="353"/>
      <c r="T158" s="353"/>
      <c r="U158" s="353"/>
      <c r="V158" s="353"/>
      <c r="W158" s="353"/>
      <c r="X158" s="353"/>
      <c r="Y158" s="353"/>
      <c r="Z158" s="353"/>
      <c r="AA158" s="353"/>
      <c r="AB158" s="353"/>
      <c r="AC158" s="353"/>
      <c r="AD158" s="353"/>
      <c r="AE158" s="353"/>
      <c r="AF158" s="353"/>
      <c r="AG158" s="353"/>
      <c r="AH158" s="353"/>
      <c r="AI158" s="353"/>
      <c r="AJ158" s="353"/>
      <c r="AK158" s="353"/>
      <c r="AL158" s="353"/>
      <c r="AM158" s="353"/>
      <c r="AN158" s="353"/>
      <c r="AO158" s="353"/>
      <c r="AP158" s="353"/>
      <c r="AQ158" s="353"/>
      <c r="AR158" s="353"/>
      <c r="AS158" s="353"/>
      <c r="AT158" s="353"/>
    </row>
    <row r="159" spans="1:46" ht="17.399999999999999">
      <c r="A159" s="353"/>
      <c r="B159" s="353"/>
      <c r="C159" s="353"/>
      <c r="D159" s="353"/>
      <c r="E159" s="353"/>
      <c r="F159" s="353"/>
      <c r="G159" s="353"/>
      <c r="H159" s="353"/>
      <c r="I159" s="353"/>
      <c r="J159" s="353"/>
      <c r="K159" s="353"/>
      <c r="L159" s="353"/>
      <c r="M159" s="353"/>
      <c r="N159" s="353"/>
      <c r="O159" s="353"/>
      <c r="P159" s="353"/>
      <c r="Q159" s="353"/>
      <c r="R159" s="353"/>
      <c r="S159" s="353"/>
      <c r="T159" s="353"/>
      <c r="U159" s="353"/>
      <c r="V159" s="353"/>
      <c r="W159" s="353"/>
      <c r="X159" s="353"/>
      <c r="Y159" s="353"/>
      <c r="Z159" s="353"/>
      <c r="AA159" s="353"/>
      <c r="AB159" s="353"/>
      <c r="AC159" s="353"/>
      <c r="AD159" s="353"/>
      <c r="AE159" s="353"/>
      <c r="AF159" s="353"/>
      <c r="AG159" s="353"/>
      <c r="AH159" s="353"/>
      <c r="AI159" s="353"/>
      <c r="AJ159" s="353"/>
      <c r="AK159" s="353"/>
      <c r="AL159" s="353"/>
      <c r="AM159" s="353"/>
      <c r="AN159" s="353"/>
      <c r="AO159" s="353"/>
      <c r="AP159" s="353"/>
      <c r="AQ159" s="353"/>
      <c r="AR159" s="353"/>
      <c r="AS159" s="353"/>
      <c r="AT159" s="353"/>
    </row>
    <row r="160" spans="1:46" ht="17.399999999999999">
      <c r="A160" s="353"/>
      <c r="B160" s="353"/>
      <c r="C160" s="353"/>
      <c r="D160" s="353"/>
      <c r="E160" s="353"/>
      <c r="F160" s="353"/>
      <c r="G160" s="353"/>
      <c r="H160" s="353"/>
      <c r="I160" s="353"/>
      <c r="J160" s="353"/>
      <c r="K160" s="353"/>
      <c r="L160" s="353"/>
      <c r="M160" s="353"/>
      <c r="N160" s="353"/>
      <c r="O160" s="353"/>
      <c r="P160" s="353"/>
      <c r="Q160" s="353"/>
      <c r="R160" s="353"/>
      <c r="S160" s="353"/>
      <c r="T160" s="353"/>
      <c r="U160" s="353"/>
      <c r="V160" s="353"/>
      <c r="W160" s="353"/>
      <c r="X160" s="353"/>
      <c r="Y160" s="353"/>
      <c r="Z160" s="353"/>
      <c r="AA160" s="353"/>
      <c r="AB160" s="353"/>
      <c r="AC160" s="353"/>
      <c r="AD160" s="353"/>
      <c r="AE160" s="353"/>
      <c r="AF160" s="353"/>
      <c r="AG160" s="353"/>
      <c r="AH160" s="353"/>
      <c r="AI160" s="353"/>
      <c r="AJ160" s="353"/>
      <c r="AK160" s="353"/>
      <c r="AL160" s="353"/>
      <c r="AM160" s="353"/>
      <c r="AN160" s="353"/>
      <c r="AO160" s="353"/>
      <c r="AP160" s="353"/>
      <c r="AQ160" s="353"/>
      <c r="AR160" s="353"/>
      <c r="AS160" s="353"/>
      <c r="AT160" s="353"/>
    </row>
    <row r="161" spans="1:46" ht="17.399999999999999">
      <c r="A161" s="353"/>
      <c r="B161" s="353"/>
      <c r="C161" s="353"/>
      <c r="D161" s="353"/>
      <c r="E161" s="353"/>
      <c r="F161" s="353"/>
      <c r="G161" s="353"/>
      <c r="H161" s="353"/>
      <c r="I161" s="353"/>
      <c r="J161" s="353"/>
      <c r="K161" s="353"/>
      <c r="L161" s="353"/>
      <c r="M161" s="353"/>
      <c r="N161" s="353"/>
      <c r="O161" s="353"/>
      <c r="P161" s="353"/>
      <c r="Q161" s="353"/>
      <c r="R161" s="353"/>
      <c r="S161" s="353"/>
      <c r="T161" s="353"/>
      <c r="U161" s="353"/>
      <c r="V161" s="353"/>
      <c r="W161" s="353"/>
      <c r="X161" s="353"/>
      <c r="Y161" s="353"/>
      <c r="Z161" s="353"/>
      <c r="AA161" s="353"/>
      <c r="AB161" s="353"/>
      <c r="AC161" s="353"/>
      <c r="AD161" s="353"/>
      <c r="AE161" s="353"/>
      <c r="AF161" s="353"/>
      <c r="AG161" s="353"/>
      <c r="AH161" s="353"/>
      <c r="AI161" s="353"/>
      <c r="AJ161" s="353"/>
      <c r="AK161" s="353"/>
      <c r="AL161" s="353"/>
      <c r="AM161" s="353"/>
      <c r="AN161" s="353"/>
      <c r="AO161" s="353"/>
      <c r="AP161" s="353"/>
      <c r="AQ161" s="353"/>
      <c r="AR161" s="353"/>
      <c r="AS161" s="353"/>
      <c r="AT161" s="353"/>
    </row>
    <row r="162" spans="1:46" ht="17.399999999999999">
      <c r="A162" s="353"/>
      <c r="B162" s="353"/>
      <c r="C162" s="353"/>
      <c r="D162" s="353"/>
      <c r="E162" s="353"/>
      <c r="F162" s="353"/>
      <c r="G162" s="353"/>
      <c r="H162" s="353"/>
      <c r="I162" s="353"/>
      <c r="J162" s="353"/>
      <c r="K162" s="353"/>
      <c r="L162" s="353"/>
      <c r="M162" s="353"/>
      <c r="N162" s="353"/>
      <c r="O162" s="353"/>
      <c r="P162" s="353"/>
      <c r="Q162" s="353"/>
      <c r="R162" s="353"/>
      <c r="S162" s="353"/>
      <c r="T162" s="353"/>
      <c r="U162" s="353"/>
      <c r="V162" s="353"/>
      <c r="W162" s="353"/>
      <c r="X162" s="353"/>
      <c r="Y162" s="353"/>
      <c r="Z162" s="353"/>
      <c r="AA162" s="353"/>
      <c r="AB162" s="353"/>
      <c r="AC162" s="353"/>
      <c r="AD162" s="353"/>
      <c r="AE162" s="353"/>
      <c r="AF162" s="353"/>
      <c r="AG162" s="353"/>
      <c r="AH162" s="353"/>
      <c r="AI162" s="353"/>
      <c r="AJ162" s="353"/>
      <c r="AK162" s="353"/>
      <c r="AL162" s="353"/>
      <c r="AM162" s="353"/>
      <c r="AN162" s="353"/>
      <c r="AO162" s="353"/>
      <c r="AP162" s="353"/>
      <c r="AQ162" s="353"/>
      <c r="AR162" s="353"/>
      <c r="AS162" s="353"/>
      <c r="AT162" s="353"/>
    </row>
    <row r="163" spans="1:46" ht="17.399999999999999">
      <c r="A163" s="353"/>
      <c r="B163" s="353"/>
      <c r="C163" s="353"/>
      <c r="D163" s="353"/>
      <c r="E163" s="353"/>
      <c r="F163" s="353"/>
      <c r="G163" s="353"/>
      <c r="H163" s="353"/>
      <c r="I163" s="353"/>
      <c r="J163" s="353"/>
      <c r="K163" s="353"/>
      <c r="L163" s="353"/>
      <c r="M163" s="353"/>
      <c r="N163" s="353"/>
      <c r="O163" s="353"/>
      <c r="P163" s="353"/>
      <c r="Q163" s="353"/>
      <c r="R163" s="353"/>
      <c r="S163" s="353"/>
      <c r="T163" s="353"/>
      <c r="U163" s="353"/>
      <c r="V163" s="353"/>
      <c r="W163" s="353"/>
      <c r="X163" s="353"/>
      <c r="Y163" s="353"/>
      <c r="Z163" s="353"/>
      <c r="AA163" s="353"/>
      <c r="AB163" s="353"/>
      <c r="AC163" s="353"/>
      <c r="AD163" s="353"/>
      <c r="AE163" s="353"/>
      <c r="AF163" s="353"/>
      <c r="AG163" s="353"/>
      <c r="AH163" s="353"/>
      <c r="AI163" s="353"/>
      <c r="AJ163" s="353"/>
      <c r="AK163" s="353"/>
      <c r="AL163" s="353"/>
      <c r="AM163" s="353"/>
      <c r="AN163" s="353"/>
      <c r="AO163" s="353"/>
      <c r="AP163" s="353"/>
      <c r="AQ163" s="353"/>
      <c r="AR163" s="353"/>
      <c r="AS163" s="353"/>
      <c r="AT163" s="353"/>
    </row>
  </sheetData>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92D050"/>
  </sheetPr>
  <dimension ref="A1:AB89"/>
  <sheetViews>
    <sheetView topLeftCell="B2" zoomScale="40" zoomScaleNormal="40" workbookViewId="0">
      <selection activeCell="F39" sqref="F39"/>
    </sheetView>
  </sheetViews>
  <sheetFormatPr defaultColWidth="8.8203125" defaultRowHeight="14.4"/>
  <cols>
    <col min="1" max="1" width="14.8203125" style="462" bestFit="1" customWidth="1"/>
    <col min="2" max="2" width="35.703125" style="462" customWidth="1"/>
    <col min="3" max="3" width="6.29296875" style="462" customWidth="1"/>
    <col min="4" max="4" width="13.46875" style="462" bestFit="1" customWidth="1"/>
    <col min="5" max="5" width="6.29296875" style="462" customWidth="1"/>
    <col min="6" max="6" width="13.46875" style="462" bestFit="1" customWidth="1"/>
    <col min="7" max="7" width="6.29296875" style="462" customWidth="1"/>
    <col min="8" max="8" width="13.46875" style="462" bestFit="1" customWidth="1"/>
    <col min="9" max="9" width="6.29296875" style="462" customWidth="1"/>
    <col min="10" max="10" width="13.46875" style="462" bestFit="1" customWidth="1"/>
    <col min="11" max="11" width="6.29296875" style="462" customWidth="1"/>
    <col min="12" max="12" width="13.46875" style="462" bestFit="1" customWidth="1"/>
    <col min="13" max="13" width="6.29296875" style="462" customWidth="1"/>
    <col min="14" max="14" width="13.46875" style="462" bestFit="1" customWidth="1"/>
    <col min="15" max="15" width="6.29296875" style="462" customWidth="1"/>
    <col min="16" max="16" width="13.46875" style="462" bestFit="1" customWidth="1"/>
    <col min="17" max="17" width="6.29296875" style="462" customWidth="1"/>
    <col min="18" max="18" width="13.46875" style="462" bestFit="1" customWidth="1"/>
    <col min="19" max="19" width="6.29296875" style="462" customWidth="1"/>
    <col min="20" max="20" width="14.8203125" style="462" bestFit="1" customWidth="1"/>
    <col min="21" max="28" width="8.8203125" style="413"/>
    <col min="29" max="16384" width="8.8203125" style="462"/>
  </cols>
  <sheetData>
    <row r="1" spans="1:20" ht="23.1">
      <c r="A1" s="413"/>
      <c r="B1" s="414" t="s">
        <v>395</v>
      </c>
      <c r="C1" s="413"/>
      <c r="D1" s="413"/>
      <c r="E1" s="413"/>
      <c r="F1" s="413"/>
      <c r="G1" s="413"/>
      <c r="H1" s="413"/>
      <c r="I1" s="413"/>
      <c r="J1" s="413"/>
      <c r="K1" s="413"/>
      <c r="L1" s="413"/>
      <c r="M1" s="413"/>
      <c r="N1" s="413"/>
      <c r="O1" s="413"/>
      <c r="P1" s="413"/>
      <c r="Q1" s="413"/>
      <c r="R1" s="413"/>
      <c r="S1" s="413"/>
      <c r="T1" s="415" t="s">
        <v>461</v>
      </c>
    </row>
    <row r="2" spans="1:20">
      <c r="A2" s="413"/>
      <c r="B2" s="413" t="s">
        <v>396</v>
      </c>
      <c r="C2" s="413"/>
      <c r="D2" s="413"/>
      <c r="E2" s="413"/>
      <c r="F2" s="413"/>
      <c r="G2" s="413"/>
      <c r="H2" s="413"/>
      <c r="I2" s="413"/>
      <c r="J2" s="413"/>
      <c r="K2" s="413"/>
      <c r="L2" s="413"/>
      <c r="M2" s="413"/>
      <c r="N2" s="413"/>
      <c r="O2" s="413"/>
      <c r="P2" s="413"/>
      <c r="Q2" s="413"/>
      <c r="R2" s="413" t="s">
        <v>397</v>
      </c>
      <c r="S2" s="413"/>
      <c r="T2" s="413" t="s">
        <v>398</v>
      </c>
    </row>
    <row r="3" spans="1:20">
      <c r="A3" s="413"/>
      <c r="B3" s="416" t="s">
        <v>462</v>
      </c>
      <c r="C3" s="413"/>
      <c r="D3" s="413"/>
      <c r="E3" s="413"/>
      <c r="F3" s="413"/>
      <c r="G3" s="413"/>
      <c r="H3" s="413"/>
      <c r="I3" s="413"/>
      <c r="J3" s="413"/>
      <c r="K3" s="413"/>
      <c r="L3" s="413"/>
      <c r="M3" s="413"/>
      <c r="N3" s="413"/>
      <c r="O3" s="413"/>
      <c r="P3" s="413"/>
      <c r="Q3" s="413"/>
      <c r="R3" s="413" t="s">
        <v>399</v>
      </c>
      <c r="S3" s="413"/>
      <c r="T3" s="413" t="s">
        <v>400</v>
      </c>
    </row>
    <row r="4" spans="1:20">
      <c r="A4" s="413"/>
      <c r="B4" s="413" t="s">
        <v>401</v>
      </c>
      <c r="C4" s="413"/>
      <c r="D4" s="413"/>
      <c r="E4" s="413"/>
      <c r="F4" s="413"/>
      <c r="G4" s="413"/>
      <c r="H4" s="413"/>
      <c r="I4" s="413"/>
      <c r="J4" s="413"/>
      <c r="K4" s="413"/>
      <c r="L4" s="413"/>
      <c r="M4" s="413"/>
      <c r="N4" s="413"/>
      <c r="O4" s="413"/>
      <c r="P4" s="413"/>
      <c r="Q4" s="413"/>
      <c r="R4" s="413"/>
      <c r="S4" s="413"/>
      <c r="T4" s="415" t="s">
        <v>358</v>
      </c>
    </row>
    <row r="5" spans="1:20">
      <c r="A5" s="413"/>
      <c r="B5" s="413" t="s">
        <v>402</v>
      </c>
      <c r="C5" s="413"/>
      <c r="D5" s="413"/>
      <c r="E5" s="413"/>
      <c r="F5" s="413"/>
      <c r="G5" s="413"/>
      <c r="H5" s="413"/>
      <c r="I5" s="413"/>
      <c r="J5" s="413"/>
      <c r="K5" s="413"/>
      <c r="L5" s="413"/>
      <c r="M5" s="413"/>
      <c r="N5" s="413"/>
      <c r="O5" s="413"/>
      <c r="P5" s="413"/>
      <c r="Q5" s="413"/>
      <c r="R5" s="413"/>
      <c r="S5" s="413"/>
      <c r="T5" s="415" t="s">
        <v>463</v>
      </c>
    </row>
    <row r="6" spans="1:20">
      <c r="A6" s="413"/>
      <c r="B6" s="415" t="s">
        <v>464</v>
      </c>
      <c r="C6" s="413"/>
      <c r="D6" s="413"/>
      <c r="E6" s="413"/>
      <c r="F6" s="413"/>
      <c r="G6" s="413"/>
      <c r="H6" s="413"/>
      <c r="I6" s="413"/>
      <c r="J6" s="413"/>
      <c r="K6" s="413"/>
      <c r="L6" s="413"/>
      <c r="M6" s="413"/>
      <c r="N6" s="413"/>
      <c r="O6" s="413"/>
      <c r="P6" s="413"/>
      <c r="Q6" s="413"/>
      <c r="R6" s="413"/>
      <c r="S6" s="413"/>
      <c r="T6" s="413"/>
    </row>
    <row r="7" spans="1:20">
      <c r="A7" s="413"/>
      <c r="B7" s="413" t="s">
        <v>403</v>
      </c>
      <c r="C7" s="413"/>
      <c r="D7" s="413"/>
      <c r="E7" s="413"/>
      <c r="F7" s="413"/>
      <c r="G7" s="413"/>
      <c r="H7" s="413"/>
      <c r="I7" s="413"/>
      <c r="J7" s="413"/>
      <c r="K7" s="413"/>
      <c r="L7" s="413"/>
      <c r="M7" s="413"/>
      <c r="N7" s="413"/>
      <c r="O7" s="413"/>
      <c r="P7" s="413"/>
      <c r="Q7" s="413"/>
      <c r="R7" s="413"/>
      <c r="S7" s="413"/>
      <c r="T7" s="413"/>
    </row>
    <row r="8" spans="1:20">
      <c r="A8" s="413"/>
      <c r="B8" s="417" t="s">
        <v>404</v>
      </c>
      <c r="C8" s="413"/>
      <c r="D8" s="413"/>
      <c r="E8" s="413"/>
      <c r="F8" s="413"/>
      <c r="G8" s="413"/>
      <c r="H8" s="413"/>
      <c r="I8" s="413"/>
      <c r="J8" s="413"/>
      <c r="K8" s="413"/>
      <c r="L8" s="413"/>
      <c r="M8" s="413"/>
      <c r="N8" s="413"/>
      <c r="O8" s="413"/>
      <c r="P8" s="413"/>
      <c r="Q8" s="413"/>
      <c r="R8" s="413"/>
      <c r="S8" s="413"/>
      <c r="T8" s="413"/>
    </row>
    <row r="9" spans="1:20">
      <c r="A9" s="413"/>
      <c r="B9" s="413"/>
      <c r="C9" s="413"/>
      <c r="D9" s="413"/>
      <c r="E9" s="413"/>
      <c r="F9" s="413"/>
      <c r="G9" s="413"/>
      <c r="H9" s="413"/>
      <c r="I9" s="413"/>
      <c r="J9" s="413"/>
      <c r="K9" s="413"/>
      <c r="L9" s="413"/>
      <c r="M9" s="413"/>
      <c r="N9" s="413"/>
      <c r="O9" s="413"/>
      <c r="P9" s="413"/>
      <c r="Q9" s="413"/>
      <c r="R9" s="413"/>
      <c r="S9" s="413"/>
      <c r="T9" s="413"/>
    </row>
    <row r="10" spans="1:20">
      <c r="A10" s="413"/>
      <c r="B10" s="417" t="s">
        <v>405</v>
      </c>
      <c r="C10" s="413"/>
      <c r="D10" s="413"/>
      <c r="E10" s="413"/>
      <c r="F10" s="413"/>
      <c r="G10" s="413"/>
      <c r="H10" s="413"/>
      <c r="I10" s="413"/>
      <c r="J10" s="413"/>
      <c r="K10" s="413"/>
      <c r="L10" s="413"/>
      <c r="M10" s="413"/>
      <c r="N10" s="413"/>
      <c r="O10" s="413"/>
      <c r="P10" s="413"/>
      <c r="Q10" s="413"/>
      <c r="R10" s="413"/>
      <c r="S10" s="413"/>
      <c r="T10" s="413"/>
    </row>
    <row r="11" spans="1:20" ht="14.7" thickBot="1">
      <c r="A11" s="413"/>
      <c r="B11" s="418" t="s">
        <v>406</v>
      </c>
      <c r="C11" s="418"/>
      <c r="D11" s="418" t="s">
        <v>407</v>
      </c>
      <c r="E11" s="418"/>
      <c r="F11" s="418" t="s">
        <v>408</v>
      </c>
      <c r="G11" s="418"/>
      <c r="H11" s="418" t="s">
        <v>409</v>
      </c>
      <c r="I11" s="418"/>
      <c r="J11" s="418" t="s">
        <v>410</v>
      </c>
      <c r="K11" s="418"/>
      <c r="L11" s="418" t="s">
        <v>411</v>
      </c>
      <c r="M11" s="418"/>
      <c r="N11" s="418" t="s">
        <v>412</v>
      </c>
      <c r="O11" s="418"/>
      <c r="P11" s="418" t="s">
        <v>413</v>
      </c>
      <c r="Q11" s="418"/>
      <c r="R11" s="418" t="s">
        <v>414</v>
      </c>
      <c r="S11" s="418"/>
      <c r="T11" s="418" t="s">
        <v>415</v>
      </c>
    </row>
    <row r="12" spans="1:20" ht="14.7" thickBot="1">
      <c r="A12" s="419" t="s">
        <v>416</v>
      </c>
      <c r="B12" s="420" t="s">
        <v>116</v>
      </c>
      <c r="C12" s="421" t="s">
        <v>397</v>
      </c>
      <c r="D12" s="420" t="s">
        <v>465</v>
      </c>
      <c r="E12" s="420" t="s">
        <v>397</v>
      </c>
      <c r="F12" s="420" t="s">
        <v>67</v>
      </c>
      <c r="G12" s="421" t="s">
        <v>399</v>
      </c>
      <c r="H12" s="420" t="s">
        <v>466</v>
      </c>
      <c r="I12" s="421" t="s">
        <v>399</v>
      </c>
      <c r="J12" s="421" t="s">
        <v>417</v>
      </c>
      <c r="K12" s="421" t="s">
        <v>399</v>
      </c>
      <c r="L12" s="421"/>
      <c r="M12" s="421" t="s">
        <v>399</v>
      </c>
      <c r="N12" s="421"/>
      <c r="O12" s="421" t="s">
        <v>399</v>
      </c>
      <c r="P12" s="421"/>
      <c r="Q12" s="421" t="s">
        <v>399</v>
      </c>
      <c r="R12" s="421"/>
      <c r="S12" s="421" t="s">
        <v>399</v>
      </c>
      <c r="T12" s="422"/>
    </row>
    <row r="13" spans="1:20" ht="14.7" thickBot="1">
      <c r="A13" s="423" t="s">
        <v>418</v>
      </c>
      <c r="B13" s="424"/>
      <c r="C13" s="424">
        <f>IF(C12="&gt;",1,0)</f>
        <v>1</v>
      </c>
      <c r="D13" s="424"/>
      <c r="E13" s="424">
        <f>IF(E12="&gt;",1,0)</f>
        <v>1</v>
      </c>
      <c r="F13" s="424"/>
      <c r="G13" s="424">
        <f>IF(G12="&gt;",1,0)</f>
        <v>0</v>
      </c>
      <c r="H13" s="424"/>
      <c r="I13" s="424">
        <f>IF(I12="&gt;",1,0)</f>
        <v>0</v>
      </c>
      <c r="J13" s="424"/>
      <c r="K13" s="424">
        <f>IF(K12="&gt;",1,0)</f>
        <v>0</v>
      </c>
      <c r="L13" s="424"/>
      <c r="M13" s="424">
        <f>IF(M12="&gt;",1,0)</f>
        <v>0</v>
      </c>
      <c r="N13" s="424"/>
      <c r="O13" s="424">
        <f>IF(O12="&gt;",1,0)</f>
        <v>0</v>
      </c>
      <c r="P13" s="424"/>
      <c r="Q13" s="424">
        <f>IF(Q12="&gt;",1,0)</f>
        <v>0</v>
      </c>
      <c r="R13" s="424"/>
      <c r="S13" s="424">
        <f>IF(S12="&gt;",1,0)</f>
        <v>0</v>
      </c>
      <c r="T13" s="425"/>
    </row>
    <row r="14" spans="1:20">
      <c r="A14" s="413"/>
      <c r="B14" s="413"/>
      <c r="C14" s="413"/>
      <c r="D14" s="413"/>
      <c r="E14" s="413"/>
      <c r="F14" s="413"/>
      <c r="G14" s="413"/>
      <c r="H14" s="413"/>
      <c r="I14" s="413"/>
      <c r="J14" s="413"/>
      <c r="K14" s="413"/>
      <c r="L14" s="413"/>
      <c r="M14" s="413"/>
      <c r="N14" s="413"/>
      <c r="O14" s="413"/>
      <c r="P14" s="413"/>
      <c r="Q14" s="413"/>
      <c r="R14" s="413"/>
      <c r="S14" s="413"/>
      <c r="T14" s="413"/>
    </row>
    <row r="15" spans="1:20" ht="14.7" thickBot="1">
      <c r="A15" s="417" t="s">
        <v>467</v>
      </c>
      <c r="B15" s="413"/>
      <c r="C15" s="413"/>
      <c r="D15" s="413"/>
      <c r="E15" s="413"/>
      <c r="F15" s="413"/>
      <c r="G15" s="413"/>
      <c r="H15" s="413"/>
      <c r="I15" s="413"/>
      <c r="J15" s="413"/>
      <c r="K15" s="413"/>
      <c r="L15" s="413"/>
      <c r="M15" s="413"/>
      <c r="N15" s="413"/>
      <c r="O15" s="413"/>
      <c r="P15" s="413"/>
      <c r="Q15" s="413"/>
      <c r="R15" s="413"/>
      <c r="S15" s="413"/>
      <c r="T15" s="413"/>
    </row>
    <row r="16" spans="1:20" ht="118.2" thickBot="1">
      <c r="A16" s="419" t="s">
        <v>419</v>
      </c>
      <c r="B16" s="426" t="s">
        <v>468</v>
      </c>
      <c r="C16" s="427" t="str">
        <f>B17</f>
        <v>Mass</v>
      </c>
      <c r="D16" s="427" t="str">
        <f>B18</f>
        <v>Cost</v>
      </c>
      <c r="E16" s="427" t="str">
        <f>B19</f>
        <v>Power</v>
      </c>
      <c r="F16" s="427" t="str">
        <f>B20</f>
        <v>Equilibrium temperature</v>
      </c>
      <c r="G16" s="427" t="str">
        <f>B21</f>
        <v>E</v>
      </c>
      <c r="H16" s="427" t="str">
        <f>B22</f>
        <v/>
      </c>
      <c r="I16" s="427" t="str">
        <f>B23</f>
        <v/>
      </c>
      <c r="J16" s="427" t="str">
        <f>B24</f>
        <v/>
      </c>
      <c r="K16" s="427" t="str">
        <f>B25</f>
        <v/>
      </c>
      <c r="L16" s="427" t="str">
        <f>B26</f>
        <v/>
      </c>
      <c r="M16" s="428" t="s">
        <v>420</v>
      </c>
      <c r="N16" s="429" t="s">
        <v>421</v>
      </c>
      <c r="O16" s="428"/>
      <c r="P16" s="429" t="s">
        <v>422</v>
      </c>
      <c r="Q16" s="413"/>
      <c r="R16" s="413"/>
      <c r="S16" s="413"/>
      <c r="T16" s="413"/>
    </row>
    <row r="17" spans="1:20">
      <c r="A17" s="430">
        <v>1</v>
      </c>
      <c r="B17" s="431" t="str">
        <f>IF(B12="","",B12)</f>
        <v>Mass</v>
      </c>
      <c r="C17" s="432"/>
      <c r="D17" s="433">
        <f>IF(D16="",0,C13)</f>
        <v>1</v>
      </c>
      <c r="E17" s="433">
        <f>IF(E$16="",0,MAX(D17,E$13))</f>
        <v>1</v>
      </c>
      <c r="F17" s="433">
        <f>IF(F$16="",0,MAX(E17,G$13))</f>
        <v>1</v>
      </c>
      <c r="G17" s="433">
        <f>IF(F$16="",0,MAX(F17,I$13))</f>
        <v>1</v>
      </c>
      <c r="H17" s="433">
        <f>IF(H$16="",0,MAX(G17,K$13))</f>
        <v>0</v>
      </c>
      <c r="I17" s="433">
        <f>IF(I$16="",0,MAX(H17,M$13))</f>
        <v>0</v>
      </c>
      <c r="J17" s="433">
        <f>IF(J$16="",0,MAX(I17,O$13))</f>
        <v>0</v>
      </c>
      <c r="K17" s="433">
        <f>IF(K$16="",0,MAX(J17,Q$13))</f>
        <v>0</v>
      </c>
      <c r="L17" s="434">
        <f>IF(L$16="",0,MAX(K17,S$13))</f>
        <v>0</v>
      </c>
      <c r="M17" s="435">
        <f>IF(B17="","",SUM(C17:L17))</f>
        <v>4</v>
      </c>
      <c r="N17" s="436">
        <f>IF(B17="","",M17+ABS(MIN($M$17:$M$26))+1)</f>
        <v>7</v>
      </c>
      <c r="O17" s="435"/>
      <c r="P17" s="436">
        <f>IF(B17="","",N17/SUM($N$17:$N$26))</f>
        <v>0.46666666666666667</v>
      </c>
      <c r="Q17" s="413"/>
      <c r="R17" s="437"/>
      <c r="S17" s="413"/>
      <c r="T17" s="413"/>
    </row>
    <row r="18" spans="1:20">
      <c r="A18" s="430">
        <v>2</v>
      </c>
      <c r="B18" s="431" t="str">
        <f>IF(D12="","",D12)</f>
        <v>Cost</v>
      </c>
      <c r="C18" s="438">
        <f>-D17</f>
        <v>-1</v>
      </c>
      <c r="D18" s="439"/>
      <c r="E18" s="440">
        <f>IF(E$16="",0,MAX(D18,E$13))</f>
        <v>1</v>
      </c>
      <c r="F18" s="440">
        <f t="shared" ref="F18:F19" si="0">IF(F$16="",0,MAX(E18,G$13))</f>
        <v>1</v>
      </c>
      <c r="G18" s="440">
        <f t="shared" ref="G18:G20" si="1">IF(F$16="",0,MAX(F18,I$13))</f>
        <v>1</v>
      </c>
      <c r="H18" s="440">
        <f t="shared" ref="H18:H21" si="2">IF(H$16="",0,MAX(G18,K$13))</f>
        <v>0</v>
      </c>
      <c r="I18" s="440">
        <f t="shared" ref="I18:I22" si="3">IF(I$16="",0,MAX(H18,M$13))</f>
        <v>0</v>
      </c>
      <c r="J18" s="440">
        <f t="shared" ref="J18:J23" si="4">IF(J$16="",0,MAX(I18,O$13))</f>
        <v>0</v>
      </c>
      <c r="K18" s="440">
        <f t="shared" ref="K18:K24" si="5">IF(K$16="",0,MAX(J18,Q$13))</f>
        <v>0</v>
      </c>
      <c r="L18" s="441">
        <f t="shared" ref="L18:L25" si="6">IF(L$16="",0,MAX(K18,S$13))</f>
        <v>0</v>
      </c>
      <c r="M18" s="442">
        <f t="shared" ref="M18:M26" si="7">IF(B18="","",SUM(C18:L18))</f>
        <v>2</v>
      </c>
      <c r="N18" s="443">
        <f t="shared" ref="N18:N26" si="8">IF(B18="","",M18+ABS(MIN($M$17:$M$26))+1)</f>
        <v>5</v>
      </c>
      <c r="O18" s="442"/>
      <c r="P18" s="443">
        <f t="shared" ref="P18:P26" si="9">IF(B18="","",N18/SUM($N$17:$N$26))</f>
        <v>0.33333333333333331</v>
      </c>
      <c r="Q18" s="413"/>
      <c r="R18" s="437"/>
      <c r="S18" s="413"/>
      <c r="T18" s="413"/>
    </row>
    <row r="19" spans="1:20">
      <c r="A19" s="430">
        <v>3</v>
      </c>
      <c r="B19" s="431" t="str">
        <f>IF(F12="","",F12)</f>
        <v>Power</v>
      </c>
      <c r="C19" s="438">
        <f>-E17</f>
        <v>-1</v>
      </c>
      <c r="D19" s="440">
        <f>-E18</f>
        <v>-1</v>
      </c>
      <c r="E19" s="439"/>
      <c r="F19" s="440">
        <f t="shared" si="0"/>
        <v>0</v>
      </c>
      <c r="G19" s="440">
        <f t="shared" si="1"/>
        <v>0</v>
      </c>
      <c r="H19" s="440">
        <f t="shared" si="2"/>
        <v>0</v>
      </c>
      <c r="I19" s="440">
        <f t="shared" si="3"/>
        <v>0</v>
      </c>
      <c r="J19" s="440">
        <f t="shared" si="4"/>
        <v>0</v>
      </c>
      <c r="K19" s="440">
        <f t="shared" si="5"/>
        <v>0</v>
      </c>
      <c r="L19" s="441">
        <f t="shared" si="6"/>
        <v>0</v>
      </c>
      <c r="M19" s="442">
        <f t="shared" si="7"/>
        <v>-2</v>
      </c>
      <c r="N19" s="443">
        <f t="shared" si="8"/>
        <v>1</v>
      </c>
      <c r="O19" s="442"/>
      <c r="P19" s="443">
        <f t="shared" si="9"/>
        <v>6.6666666666666666E-2</v>
      </c>
      <c r="Q19" s="413"/>
      <c r="R19" s="437"/>
      <c r="S19" s="413"/>
      <c r="T19" s="413"/>
    </row>
    <row r="20" spans="1:20">
      <c r="A20" s="430">
        <v>4</v>
      </c>
      <c r="B20" s="431" t="str">
        <f>IF(H12="","",H12)</f>
        <v>Equilibrium temperature</v>
      </c>
      <c r="C20" s="438">
        <f>-F17</f>
        <v>-1</v>
      </c>
      <c r="D20" s="440">
        <f>-F18</f>
        <v>-1</v>
      </c>
      <c r="E20" s="440">
        <f>-F19</f>
        <v>0</v>
      </c>
      <c r="F20" s="439"/>
      <c r="G20" s="440">
        <f t="shared" si="1"/>
        <v>0</v>
      </c>
      <c r="H20" s="440">
        <f t="shared" si="2"/>
        <v>0</v>
      </c>
      <c r="I20" s="440">
        <f t="shared" si="3"/>
        <v>0</v>
      </c>
      <c r="J20" s="440">
        <f t="shared" si="4"/>
        <v>0</v>
      </c>
      <c r="K20" s="440">
        <f t="shared" si="5"/>
        <v>0</v>
      </c>
      <c r="L20" s="441">
        <f t="shared" si="6"/>
        <v>0</v>
      </c>
      <c r="M20" s="442">
        <f t="shared" si="7"/>
        <v>-2</v>
      </c>
      <c r="N20" s="443">
        <f t="shared" si="8"/>
        <v>1</v>
      </c>
      <c r="O20" s="442"/>
      <c r="P20" s="443">
        <f t="shared" si="9"/>
        <v>6.6666666666666666E-2</v>
      </c>
      <c r="Q20" s="413"/>
      <c r="R20" s="437"/>
      <c r="S20" s="413"/>
      <c r="T20" s="413"/>
    </row>
    <row r="21" spans="1:20">
      <c r="A21" s="430">
        <v>5</v>
      </c>
      <c r="B21" s="431" t="str">
        <f>IF(J12="","",J12)</f>
        <v>E</v>
      </c>
      <c r="C21" s="438">
        <f>-G17</f>
        <v>-1</v>
      </c>
      <c r="D21" s="440">
        <f>-G18</f>
        <v>-1</v>
      </c>
      <c r="E21" s="440">
        <f>-G19</f>
        <v>0</v>
      </c>
      <c r="F21" s="440">
        <f>-G20</f>
        <v>0</v>
      </c>
      <c r="G21" s="439"/>
      <c r="H21" s="440">
        <f t="shared" si="2"/>
        <v>0</v>
      </c>
      <c r="I21" s="440">
        <f t="shared" si="3"/>
        <v>0</v>
      </c>
      <c r="J21" s="440">
        <f t="shared" si="4"/>
        <v>0</v>
      </c>
      <c r="K21" s="440">
        <f t="shared" si="5"/>
        <v>0</v>
      </c>
      <c r="L21" s="441">
        <f t="shared" si="6"/>
        <v>0</v>
      </c>
      <c r="M21" s="442">
        <f t="shared" si="7"/>
        <v>-2</v>
      </c>
      <c r="N21" s="443">
        <f t="shared" si="8"/>
        <v>1</v>
      </c>
      <c r="O21" s="442"/>
      <c r="P21" s="443">
        <f t="shared" si="9"/>
        <v>6.6666666666666666E-2</v>
      </c>
      <c r="Q21" s="413"/>
      <c r="R21" s="437"/>
      <c r="S21" s="413"/>
      <c r="T21" s="413"/>
    </row>
    <row r="22" spans="1:20">
      <c r="A22" s="430">
        <v>6</v>
      </c>
      <c r="B22" s="431" t="str">
        <f>IF(L12="","",L12)</f>
        <v/>
      </c>
      <c r="C22" s="438">
        <f>-H17</f>
        <v>0</v>
      </c>
      <c r="D22" s="440">
        <f>-H18</f>
        <v>0</v>
      </c>
      <c r="E22" s="440">
        <f>-H19</f>
        <v>0</v>
      </c>
      <c r="F22" s="440">
        <f>-H20</f>
        <v>0</v>
      </c>
      <c r="G22" s="440">
        <f>-H21</f>
        <v>0</v>
      </c>
      <c r="H22" s="439"/>
      <c r="I22" s="440">
        <f t="shared" si="3"/>
        <v>0</v>
      </c>
      <c r="J22" s="440">
        <f t="shared" si="4"/>
        <v>0</v>
      </c>
      <c r="K22" s="440">
        <f t="shared" si="5"/>
        <v>0</v>
      </c>
      <c r="L22" s="441">
        <f t="shared" si="6"/>
        <v>0</v>
      </c>
      <c r="M22" s="442" t="str">
        <f t="shared" si="7"/>
        <v/>
      </c>
      <c r="N22" s="443" t="str">
        <f>IF(B22="","",M22+ABS(MIN($M$17:$M$26))+1)</f>
        <v/>
      </c>
      <c r="O22" s="442"/>
      <c r="P22" s="443" t="str">
        <f t="shared" si="9"/>
        <v/>
      </c>
      <c r="Q22" s="413"/>
      <c r="R22" s="437"/>
      <c r="S22" s="413"/>
      <c r="T22" s="413"/>
    </row>
    <row r="23" spans="1:20">
      <c r="A23" s="430">
        <v>7</v>
      </c>
      <c r="B23" s="431" t="str">
        <f>IF(N12="","",N12)</f>
        <v/>
      </c>
      <c r="C23" s="438">
        <f>-I17</f>
        <v>0</v>
      </c>
      <c r="D23" s="440">
        <f>-I18</f>
        <v>0</v>
      </c>
      <c r="E23" s="440">
        <f>-I19</f>
        <v>0</v>
      </c>
      <c r="F23" s="440">
        <f>-I20</f>
        <v>0</v>
      </c>
      <c r="G23" s="440">
        <f>-I21</f>
        <v>0</v>
      </c>
      <c r="H23" s="440">
        <f>-I22</f>
        <v>0</v>
      </c>
      <c r="I23" s="439"/>
      <c r="J23" s="440">
        <f t="shared" si="4"/>
        <v>0</v>
      </c>
      <c r="K23" s="440">
        <f t="shared" si="5"/>
        <v>0</v>
      </c>
      <c r="L23" s="441">
        <f t="shared" si="6"/>
        <v>0</v>
      </c>
      <c r="M23" s="442" t="str">
        <f t="shared" si="7"/>
        <v/>
      </c>
      <c r="N23" s="443" t="str">
        <f t="shared" si="8"/>
        <v/>
      </c>
      <c r="O23" s="442"/>
      <c r="P23" s="443" t="str">
        <f t="shared" si="9"/>
        <v/>
      </c>
      <c r="Q23" s="413"/>
      <c r="R23" s="437"/>
      <c r="S23" s="413"/>
      <c r="T23" s="413"/>
    </row>
    <row r="24" spans="1:20">
      <c r="A24" s="430">
        <v>8</v>
      </c>
      <c r="B24" s="431" t="str">
        <f>IF(P12="","",P12)</f>
        <v/>
      </c>
      <c r="C24" s="438">
        <f>-J17</f>
        <v>0</v>
      </c>
      <c r="D24" s="440">
        <f>-J18</f>
        <v>0</v>
      </c>
      <c r="E24" s="440">
        <f>-J19</f>
        <v>0</v>
      </c>
      <c r="F24" s="440">
        <f>-J20</f>
        <v>0</v>
      </c>
      <c r="G24" s="440">
        <f>-J21</f>
        <v>0</v>
      </c>
      <c r="H24" s="440">
        <f>-J22</f>
        <v>0</v>
      </c>
      <c r="I24" s="440">
        <f>-J23</f>
        <v>0</v>
      </c>
      <c r="J24" s="439"/>
      <c r="K24" s="440">
        <f t="shared" si="5"/>
        <v>0</v>
      </c>
      <c r="L24" s="441">
        <f t="shared" si="6"/>
        <v>0</v>
      </c>
      <c r="M24" s="442" t="str">
        <f t="shared" si="7"/>
        <v/>
      </c>
      <c r="N24" s="443" t="str">
        <f t="shared" si="8"/>
        <v/>
      </c>
      <c r="O24" s="442"/>
      <c r="P24" s="443" t="str">
        <f t="shared" si="9"/>
        <v/>
      </c>
      <c r="Q24" s="413"/>
      <c r="R24" s="437"/>
      <c r="S24" s="413"/>
      <c r="T24" s="413"/>
    </row>
    <row r="25" spans="1:20">
      <c r="A25" s="430">
        <v>9</v>
      </c>
      <c r="B25" s="431" t="str">
        <f>IF(R12="","",R12)</f>
        <v/>
      </c>
      <c r="C25" s="438">
        <f>-K17</f>
        <v>0</v>
      </c>
      <c r="D25" s="440">
        <f>-K18</f>
        <v>0</v>
      </c>
      <c r="E25" s="440">
        <f>-K19</f>
        <v>0</v>
      </c>
      <c r="F25" s="440">
        <f>-K20</f>
        <v>0</v>
      </c>
      <c r="G25" s="440">
        <f>-K21</f>
        <v>0</v>
      </c>
      <c r="H25" s="440">
        <f>-K22</f>
        <v>0</v>
      </c>
      <c r="I25" s="440">
        <f>-K23</f>
        <v>0</v>
      </c>
      <c r="J25" s="440">
        <f>-K24</f>
        <v>0</v>
      </c>
      <c r="K25" s="439"/>
      <c r="L25" s="441">
        <f t="shared" si="6"/>
        <v>0</v>
      </c>
      <c r="M25" s="442" t="str">
        <f t="shared" si="7"/>
        <v/>
      </c>
      <c r="N25" s="443" t="str">
        <f t="shared" si="8"/>
        <v/>
      </c>
      <c r="O25" s="442"/>
      <c r="P25" s="443" t="str">
        <f t="shared" si="9"/>
        <v/>
      </c>
      <c r="Q25" s="413"/>
      <c r="R25" s="437"/>
      <c r="S25" s="413"/>
      <c r="T25" s="413"/>
    </row>
    <row r="26" spans="1:20" ht="14.7" thickBot="1">
      <c r="A26" s="444">
        <v>10</v>
      </c>
      <c r="B26" s="445" t="str">
        <f>IF(T12="","",T12)</f>
        <v/>
      </c>
      <c r="C26" s="446">
        <f>-L17</f>
        <v>0</v>
      </c>
      <c r="D26" s="447">
        <f>-L18</f>
        <v>0</v>
      </c>
      <c r="E26" s="447">
        <f>-L19</f>
        <v>0</v>
      </c>
      <c r="F26" s="447">
        <f>-L20</f>
        <v>0</v>
      </c>
      <c r="G26" s="447">
        <f>-L21</f>
        <v>0</v>
      </c>
      <c r="H26" s="447">
        <f>-L22</f>
        <v>0</v>
      </c>
      <c r="I26" s="447">
        <f>-L23</f>
        <v>0</v>
      </c>
      <c r="J26" s="447">
        <f>-L24</f>
        <v>0</v>
      </c>
      <c r="K26" s="447">
        <f>-L25</f>
        <v>0</v>
      </c>
      <c r="L26" s="448"/>
      <c r="M26" s="449" t="str">
        <f t="shared" si="7"/>
        <v/>
      </c>
      <c r="N26" s="450" t="str">
        <f t="shared" si="8"/>
        <v/>
      </c>
      <c r="O26" s="449"/>
      <c r="P26" s="450" t="str">
        <f t="shared" si="9"/>
        <v/>
      </c>
      <c r="Q26" s="413"/>
      <c r="R26" s="437"/>
      <c r="S26" s="413"/>
      <c r="T26" s="437"/>
    </row>
    <row r="27" spans="1:20">
      <c r="A27" s="413"/>
      <c r="B27" s="413"/>
      <c r="C27" s="413"/>
      <c r="D27" s="413"/>
      <c r="E27" s="413"/>
      <c r="F27" s="413"/>
      <c r="G27" s="413"/>
      <c r="H27" s="413"/>
      <c r="I27" s="413"/>
      <c r="J27" s="413"/>
      <c r="K27" s="413"/>
      <c r="L27" s="413"/>
      <c r="M27" s="413"/>
      <c r="N27" s="413"/>
      <c r="O27" s="413"/>
      <c r="P27" s="413"/>
      <c r="Q27" s="413"/>
      <c r="R27" s="413"/>
      <c r="S27" s="413"/>
      <c r="T27" s="413"/>
    </row>
    <row r="28" spans="1:20">
      <c r="A28" s="413"/>
      <c r="B28" s="413"/>
      <c r="C28" s="413"/>
      <c r="D28" s="413"/>
      <c r="E28" s="413"/>
      <c r="F28" s="413"/>
      <c r="G28" s="413"/>
      <c r="H28" s="413"/>
      <c r="I28" s="413"/>
      <c r="J28" s="413"/>
      <c r="K28" s="413"/>
      <c r="L28" s="413"/>
      <c r="M28" s="413"/>
      <c r="N28" s="413"/>
      <c r="O28" s="413"/>
      <c r="P28" s="437"/>
      <c r="Q28" s="437"/>
      <c r="R28" s="413"/>
      <c r="S28" s="413"/>
      <c r="T28" s="413"/>
    </row>
    <row r="29" spans="1:20" ht="14.7" thickBot="1">
      <c r="A29" s="417" t="s">
        <v>423</v>
      </c>
      <c r="B29" s="413"/>
      <c r="C29" s="413"/>
      <c r="D29" s="413"/>
      <c r="E29" s="413"/>
      <c r="F29" s="413"/>
      <c r="G29" s="413"/>
      <c r="H29" s="413"/>
      <c r="I29" s="413"/>
      <c r="J29" s="413"/>
      <c r="K29" s="413"/>
      <c r="L29" s="413"/>
      <c r="M29" s="413"/>
      <c r="N29" s="413"/>
      <c r="O29" s="413"/>
      <c r="P29" s="413"/>
      <c r="Q29" s="413"/>
      <c r="R29" s="413"/>
      <c r="S29" s="413"/>
      <c r="T29" s="413"/>
    </row>
    <row r="30" spans="1:20" ht="51.3" thickBot="1">
      <c r="A30" s="588" t="s">
        <v>395</v>
      </c>
      <c r="B30" s="590" t="s">
        <v>424</v>
      </c>
      <c r="C30" s="451" t="s">
        <v>425</v>
      </c>
      <c r="D30" s="452" t="s">
        <v>426</v>
      </c>
      <c r="E30" s="452" t="s">
        <v>427</v>
      </c>
      <c r="F30" s="452" t="s">
        <v>428</v>
      </c>
      <c r="G30" s="452" t="s">
        <v>429</v>
      </c>
      <c r="H30" s="452" t="s">
        <v>430</v>
      </c>
      <c r="I30" s="452" t="s">
        <v>431</v>
      </c>
      <c r="J30" s="452" t="s">
        <v>432</v>
      </c>
      <c r="K30" s="452" t="s">
        <v>433</v>
      </c>
      <c r="L30" s="452" t="s">
        <v>434</v>
      </c>
      <c r="M30" s="452" t="s">
        <v>435</v>
      </c>
      <c r="N30" s="452" t="s">
        <v>436</v>
      </c>
      <c r="O30" s="452" t="s">
        <v>437</v>
      </c>
      <c r="P30" s="452" t="s">
        <v>438</v>
      </c>
      <c r="Q30" s="452" t="s">
        <v>439</v>
      </c>
      <c r="R30" s="592" t="s">
        <v>440</v>
      </c>
      <c r="S30" s="413"/>
      <c r="T30" s="413"/>
    </row>
    <row r="31" spans="1:20" ht="36" thickBot="1">
      <c r="A31" s="589"/>
      <c r="B31" s="591"/>
      <c r="C31" s="453" t="s">
        <v>441</v>
      </c>
      <c r="D31" s="454" t="s">
        <v>442</v>
      </c>
      <c r="E31" s="454" t="s">
        <v>443</v>
      </c>
      <c r="F31" s="454" t="s">
        <v>444</v>
      </c>
      <c r="G31" s="454" t="s">
        <v>445</v>
      </c>
      <c r="H31" s="454" t="s">
        <v>446</v>
      </c>
      <c r="I31" s="454" t="s">
        <v>447</v>
      </c>
      <c r="J31" s="454" t="s">
        <v>448</v>
      </c>
      <c r="K31" s="454" t="s">
        <v>449</v>
      </c>
      <c r="L31" s="454" t="s">
        <v>450</v>
      </c>
      <c r="M31" s="454" t="s">
        <v>451</v>
      </c>
      <c r="N31" s="454" t="s">
        <v>452</v>
      </c>
      <c r="O31" s="454" t="s">
        <v>453</v>
      </c>
      <c r="P31" s="454" t="s">
        <v>454</v>
      </c>
      <c r="Q31" s="455" t="s">
        <v>455</v>
      </c>
      <c r="R31" s="593"/>
      <c r="S31" s="413"/>
      <c r="T31" s="413"/>
    </row>
    <row r="32" spans="1:20" ht="15" customHeight="1">
      <c r="A32" s="594" t="s">
        <v>468</v>
      </c>
      <c r="B32" s="430" t="str">
        <f>B17</f>
        <v>Mass</v>
      </c>
      <c r="C32" s="456">
        <v>3</v>
      </c>
      <c r="D32" s="457">
        <v>3</v>
      </c>
      <c r="E32" s="457">
        <v>3</v>
      </c>
      <c r="F32" s="457"/>
      <c r="G32" s="457"/>
      <c r="H32" s="457"/>
      <c r="I32" s="457"/>
      <c r="J32" s="457"/>
      <c r="K32" s="457"/>
      <c r="L32" s="457"/>
      <c r="M32" s="457"/>
      <c r="N32" s="457"/>
      <c r="O32" s="457"/>
      <c r="P32" s="457"/>
      <c r="Q32" s="458"/>
      <c r="R32" s="436">
        <f>IF(B17="",0,P17)</f>
        <v>0.46666666666666667</v>
      </c>
      <c r="S32" s="413"/>
      <c r="T32" s="413"/>
    </row>
    <row r="33" spans="1:28">
      <c r="A33" s="595"/>
      <c r="B33" s="430" t="str">
        <f t="shared" ref="B33:B41" si="10">B18</f>
        <v>Cost</v>
      </c>
      <c r="C33" s="459">
        <v>5</v>
      </c>
      <c r="D33" s="460">
        <v>7</v>
      </c>
      <c r="E33" s="460">
        <v>4</v>
      </c>
      <c r="F33" s="460"/>
      <c r="G33" s="460"/>
      <c r="H33" s="460"/>
      <c r="I33" s="460"/>
      <c r="J33" s="460"/>
      <c r="K33" s="460"/>
      <c r="L33" s="460"/>
      <c r="M33" s="460"/>
      <c r="N33" s="460"/>
      <c r="O33" s="460"/>
      <c r="P33" s="460"/>
      <c r="Q33" s="461"/>
      <c r="R33" s="443">
        <f t="shared" ref="R33:R41" si="11">IF(B18="",0,P18)</f>
        <v>0.33333333333333331</v>
      </c>
      <c r="S33" s="413"/>
      <c r="T33" s="413"/>
    </row>
    <row r="34" spans="1:28">
      <c r="A34" s="595"/>
      <c r="B34" s="430" t="str">
        <f t="shared" si="10"/>
        <v>Power</v>
      </c>
      <c r="C34" s="459">
        <v>8</v>
      </c>
      <c r="D34" s="460">
        <v>5</v>
      </c>
      <c r="E34" s="460">
        <v>2</v>
      </c>
      <c r="F34" s="460"/>
      <c r="G34" s="460"/>
      <c r="H34" s="460"/>
      <c r="I34" s="460"/>
      <c r="J34" s="460"/>
      <c r="K34" s="460"/>
      <c r="L34" s="460"/>
      <c r="M34" s="460"/>
      <c r="N34" s="460"/>
      <c r="O34" s="460"/>
      <c r="P34" s="460"/>
      <c r="Q34" s="461"/>
      <c r="R34" s="443">
        <f t="shared" si="11"/>
        <v>6.6666666666666666E-2</v>
      </c>
      <c r="S34" s="413"/>
      <c r="T34" s="413"/>
    </row>
    <row r="35" spans="1:28">
      <c r="A35" s="595"/>
      <c r="B35" s="430" t="str">
        <f t="shared" si="10"/>
        <v>Equilibrium temperature</v>
      </c>
      <c r="C35" s="459">
        <v>4</v>
      </c>
      <c r="D35" s="460">
        <v>3</v>
      </c>
      <c r="E35" s="460">
        <v>1</v>
      </c>
      <c r="F35" s="460"/>
      <c r="G35" s="460"/>
      <c r="H35" s="460"/>
      <c r="I35" s="460"/>
      <c r="J35" s="460"/>
      <c r="K35" s="460"/>
      <c r="L35" s="460"/>
      <c r="M35" s="460"/>
      <c r="N35" s="460"/>
      <c r="O35" s="460"/>
      <c r="P35" s="460"/>
      <c r="Q35" s="461"/>
      <c r="R35" s="443">
        <f t="shared" si="11"/>
        <v>6.6666666666666666E-2</v>
      </c>
      <c r="S35" s="413"/>
      <c r="T35" s="413"/>
    </row>
    <row r="36" spans="1:28">
      <c r="A36" s="595"/>
      <c r="B36" s="430" t="str">
        <f t="shared" si="10"/>
        <v>E</v>
      </c>
      <c r="C36" s="459"/>
      <c r="D36" s="460"/>
      <c r="E36" s="460"/>
      <c r="F36" s="460"/>
      <c r="G36" s="460"/>
      <c r="H36" s="460"/>
      <c r="I36" s="460"/>
      <c r="J36" s="460"/>
      <c r="K36" s="460"/>
      <c r="L36" s="460"/>
      <c r="M36" s="460"/>
      <c r="N36" s="460"/>
      <c r="O36" s="460"/>
      <c r="P36" s="460"/>
      <c r="Q36" s="461"/>
      <c r="R36" s="443">
        <f t="shared" si="11"/>
        <v>6.6666666666666666E-2</v>
      </c>
      <c r="S36" s="413"/>
      <c r="T36" s="413"/>
    </row>
    <row r="37" spans="1:28">
      <c r="A37" s="595"/>
      <c r="B37" s="430" t="str">
        <f t="shared" si="10"/>
        <v/>
      </c>
      <c r="C37" s="459"/>
      <c r="D37" s="460"/>
      <c r="E37" s="460"/>
      <c r="F37" s="460"/>
      <c r="G37" s="460"/>
      <c r="H37" s="460"/>
      <c r="I37" s="460"/>
      <c r="J37" s="460"/>
      <c r="K37" s="460"/>
      <c r="L37" s="460"/>
      <c r="M37" s="460"/>
      <c r="N37" s="460"/>
      <c r="O37" s="460"/>
      <c r="P37" s="460"/>
      <c r="Q37" s="461"/>
      <c r="R37" s="443">
        <f t="shared" si="11"/>
        <v>0</v>
      </c>
      <c r="S37" s="413"/>
      <c r="T37" s="413"/>
    </row>
    <row r="38" spans="1:28">
      <c r="A38" s="595"/>
      <c r="B38" s="430" t="str">
        <f t="shared" si="10"/>
        <v/>
      </c>
      <c r="C38" s="459"/>
      <c r="D38" s="460"/>
      <c r="E38" s="460"/>
      <c r="F38" s="463"/>
      <c r="G38" s="460"/>
      <c r="H38" s="460"/>
      <c r="I38" s="460"/>
      <c r="J38" s="460"/>
      <c r="K38" s="460"/>
      <c r="L38" s="460"/>
      <c r="M38" s="460"/>
      <c r="N38" s="460"/>
      <c r="O38" s="460"/>
      <c r="P38" s="460"/>
      <c r="Q38" s="461"/>
      <c r="R38" s="443">
        <f t="shared" si="11"/>
        <v>0</v>
      </c>
      <c r="S38" s="413"/>
      <c r="T38" s="413"/>
    </row>
    <row r="39" spans="1:28">
      <c r="A39" s="595"/>
      <c r="B39" s="430" t="str">
        <f t="shared" si="10"/>
        <v/>
      </c>
      <c r="C39" s="459"/>
      <c r="D39" s="460"/>
      <c r="E39" s="460"/>
      <c r="F39" s="460"/>
      <c r="G39" s="460"/>
      <c r="H39" s="460"/>
      <c r="I39" s="460"/>
      <c r="J39" s="460"/>
      <c r="K39" s="460"/>
      <c r="L39" s="460"/>
      <c r="M39" s="460"/>
      <c r="N39" s="460"/>
      <c r="O39" s="460"/>
      <c r="P39" s="460"/>
      <c r="Q39" s="461"/>
      <c r="R39" s="443">
        <f t="shared" si="11"/>
        <v>0</v>
      </c>
      <c r="S39" s="413"/>
      <c r="T39" s="413"/>
    </row>
    <row r="40" spans="1:28">
      <c r="A40" s="595"/>
      <c r="B40" s="430" t="str">
        <f t="shared" si="10"/>
        <v/>
      </c>
      <c r="C40" s="459"/>
      <c r="D40" s="460"/>
      <c r="E40" s="460"/>
      <c r="F40" s="460"/>
      <c r="G40" s="460"/>
      <c r="H40" s="460"/>
      <c r="I40" s="460"/>
      <c r="J40" s="460"/>
      <c r="K40" s="460"/>
      <c r="L40" s="460"/>
      <c r="M40" s="460"/>
      <c r="N40" s="460"/>
      <c r="O40" s="460"/>
      <c r="P40" s="460"/>
      <c r="Q40" s="461"/>
      <c r="R40" s="443">
        <f t="shared" si="11"/>
        <v>0</v>
      </c>
      <c r="S40" s="413"/>
      <c r="T40" s="413"/>
    </row>
    <row r="41" spans="1:28" ht="14.7" thickBot="1">
      <c r="A41" s="596"/>
      <c r="B41" s="430" t="str">
        <f t="shared" si="10"/>
        <v/>
      </c>
      <c r="C41" s="464"/>
      <c r="D41" s="465"/>
      <c r="E41" s="465"/>
      <c r="F41" s="465"/>
      <c r="G41" s="465"/>
      <c r="H41" s="465"/>
      <c r="I41" s="465"/>
      <c r="J41" s="465"/>
      <c r="K41" s="465"/>
      <c r="L41" s="465"/>
      <c r="M41" s="465"/>
      <c r="N41" s="465"/>
      <c r="O41" s="465"/>
      <c r="P41" s="465"/>
      <c r="Q41" s="466"/>
      <c r="R41" s="450">
        <f t="shared" si="11"/>
        <v>0</v>
      </c>
      <c r="S41" s="413"/>
      <c r="T41" s="413"/>
    </row>
    <row r="42" spans="1:28" ht="14.7" thickBot="1">
      <c r="A42" s="430"/>
      <c r="B42" s="467" t="s">
        <v>420</v>
      </c>
      <c r="C42" s="468">
        <f>C32*$R32+C33*$R33+C34*$R34+C35*$R35+C36*$R36+C37*$R37+C38*$R38+C39*$R39+C40*$R40+C41*$R41</f>
        <v>3.8666666666666663</v>
      </c>
      <c r="D42" s="469">
        <f t="shared" ref="D42:Q42" si="12">D32*$R32+D33*$R33+D34*$R34+D35*$R35+D36*$R36+D37*$R37+D38*$R38+D39*$R39+D40*$R40+D41*$R41</f>
        <v>4.2666666666666666</v>
      </c>
      <c r="E42" s="469">
        <f t="shared" si="12"/>
        <v>2.9333333333333336</v>
      </c>
      <c r="F42" s="469">
        <f t="shared" si="12"/>
        <v>0</v>
      </c>
      <c r="G42" s="469">
        <f t="shared" si="12"/>
        <v>0</v>
      </c>
      <c r="H42" s="469">
        <f t="shared" si="12"/>
        <v>0</v>
      </c>
      <c r="I42" s="469">
        <f t="shared" si="12"/>
        <v>0</v>
      </c>
      <c r="J42" s="469">
        <f t="shared" si="12"/>
        <v>0</v>
      </c>
      <c r="K42" s="469">
        <f t="shared" si="12"/>
        <v>0</v>
      </c>
      <c r="L42" s="469">
        <f t="shared" si="12"/>
        <v>0</v>
      </c>
      <c r="M42" s="469">
        <f t="shared" si="12"/>
        <v>0</v>
      </c>
      <c r="N42" s="469">
        <f t="shared" si="12"/>
        <v>0</v>
      </c>
      <c r="O42" s="469">
        <f t="shared" si="12"/>
        <v>0</v>
      </c>
      <c r="P42" s="469">
        <f t="shared" si="12"/>
        <v>0</v>
      </c>
      <c r="Q42" s="470">
        <f t="shared" si="12"/>
        <v>0</v>
      </c>
      <c r="R42" s="471"/>
      <c r="S42" s="413"/>
      <c r="T42" s="413"/>
    </row>
    <row r="43" spans="1:28" ht="14.7" thickBot="1">
      <c r="A43" s="444"/>
      <c r="B43" s="472" t="s">
        <v>456</v>
      </c>
      <c r="C43" s="473">
        <f>RANK(C42,$C42:$Q42)</f>
        <v>2</v>
      </c>
      <c r="D43" s="474">
        <f t="shared" ref="D43:Q43" si="13">RANK(D42,$C42:$Q42)</f>
        <v>1</v>
      </c>
      <c r="E43" s="474">
        <f t="shared" si="13"/>
        <v>3</v>
      </c>
      <c r="F43" s="474">
        <f t="shared" si="13"/>
        <v>4</v>
      </c>
      <c r="G43" s="474">
        <f t="shared" si="13"/>
        <v>4</v>
      </c>
      <c r="H43" s="474">
        <f t="shared" si="13"/>
        <v>4</v>
      </c>
      <c r="I43" s="474">
        <f t="shared" si="13"/>
        <v>4</v>
      </c>
      <c r="J43" s="474">
        <f t="shared" si="13"/>
        <v>4</v>
      </c>
      <c r="K43" s="474">
        <f t="shared" si="13"/>
        <v>4</v>
      </c>
      <c r="L43" s="474">
        <f t="shared" si="13"/>
        <v>4</v>
      </c>
      <c r="M43" s="474">
        <f t="shared" si="13"/>
        <v>4</v>
      </c>
      <c r="N43" s="474">
        <f t="shared" si="13"/>
        <v>4</v>
      </c>
      <c r="O43" s="474">
        <f t="shared" si="13"/>
        <v>4</v>
      </c>
      <c r="P43" s="474">
        <f t="shared" si="13"/>
        <v>4</v>
      </c>
      <c r="Q43" s="475">
        <f t="shared" si="13"/>
        <v>4</v>
      </c>
      <c r="R43" s="476"/>
      <c r="S43" s="413"/>
      <c r="T43" s="413"/>
    </row>
    <row r="44" spans="1:28">
      <c r="A44" s="413"/>
      <c r="B44" s="413"/>
      <c r="C44" s="413"/>
      <c r="D44" s="413"/>
      <c r="E44" s="413"/>
      <c r="F44" s="413"/>
      <c r="G44" s="413"/>
      <c r="H44" s="413"/>
      <c r="I44" s="413"/>
      <c r="J44" s="413"/>
      <c r="K44" s="413"/>
      <c r="L44" s="413"/>
      <c r="M44" s="413"/>
      <c r="N44" s="413"/>
      <c r="O44" s="413"/>
      <c r="P44" s="413"/>
      <c r="Q44" s="413"/>
      <c r="R44" s="413"/>
      <c r="S44" s="413"/>
      <c r="T44" s="413"/>
    </row>
    <row r="45" spans="1:28" ht="14.7" thickBot="1">
      <c r="A45" s="413"/>
      <c r="B45" s="413"/>
      <c r="C45" s="413"/>
      <c r="D45" s="413"/>
      <c r="E45" s="413"/>
      <c r="F45" s="413"/>
      <c r="G45" s="413"/>
      <c r="H45" s="413"/>
      <c r="I45" s="413"/>
      <c r="J45" s="413"/>
      <c r="K45" s="413"/>
      <c r="L45" s="413"/>
      <c r="M45" s="413"/>
      <c r="N45" s="413"/>
      <c r="O45" s="413"/>
      <c r="P45" s="413"/>
      <c r="Q45" s="413"/>
      <c r="R45" s="413"/>
      <c r="S45" s="413"/>
      <c r="T45" s="413"/>
    </row>
    <row r="46" spans="1:28">
      <c r="A46" s="413"/>
      <c r="B46" s="413"/>
      <c r="C46" s="413"/>
      <c r="D46" s="413"/>
      <c r="E46" s="413"/>
      <c r="F46" s="413"/>
      <c r="G46" s="413"/>
      <c r="H46" s="413"/>
      <c r="I46" s="413"/>
      <c r="J46" s="413"/>
      <c r="K46" s="413"/>
      <c r="L46" s="413"/>
      <c r="M46" s="413"/>
      <c r="N46" s="413"/>
      <c r="O46" s="413"/>
      <c r="P46" s="413"/>
      <c r="Q46" s="413"/>
      <c r="R46" s="413"/>
      <c r="S46" s="413"/>
      <c r="T46" s="477" t="s">
        <v>469</v>
      </c>
      <c r="U46" s="478"/>
      <c r="V46" s="478"/>
      <c r="W46" s="478"/>
      <c r="X46" s="478"/>
      <c r="Y46" s="478"/>
      <c r="Z46" s="478"/>
      <c r="AA46" s="478"/>
      <c r="AB46" s="479"/>
    </row>
    <row r="47" spans="1:28">
      <c r="A47" s="413"/>
      <c r="B47" s="413"/>
      <c r="C47" s="413"/>
      <c r="D47" s="413"/>
      <c r="E47" s="413"/>
      <c r="F47" s="413"/>
      <c r="G47" s="413"/>
      <c r="H47" s="413"/>
      <c r="I47" s="413"/>
      <c r="J47" s="413"/>
      <c r="K47" s="413"/>
      <c r="L47" s="413"/>
      <c r="M47" s="413"/>
      <c r="N47" s="413"/>
      <c r="O47" s="413"/>
      <c r="P47" s="413"/>
      <c r="Q47" s="413"/>
      <c r="R47" s="413"/>
      <c r="S47" s="413"/>
      <c r="T47" s="480" t="s">
        <v>470</v>
      </c>
      <c r="U47" s="481"/>
      <c r="V47" s="481"/>
      <c r="W47" s="481"/>
      <c r="X47" s="481"/>
      <c r="Y47" s="481"/>
      <c r="Z47" s="481"/>
      <c r="AA47" s="481"/>
      <c r="AB47" s="482"/>
    </row>
    <row r="48" spans="1:28">
      <c r="A48" s="413"/>
      <c r="B48" s="413"/>
      <c r="C48" s="413"/>
      <c r="D48" s="413"/>
      <c r="E48" s="413"/>
      <c r="F48" s="413"/>
      <c r="G48" s="413"/>
      <c r="H48" s="413"/>
      <c r="I48" s="413"/>
      <c r="J48" s="413"/>
      <c r="K48" s="413"/>
      <c r="L48" s="413"/>
      <c r="M48" s="413"/>
      <c r="N48" s="413"/>
      <c r="O48" s="413"/>
      <c r="P48" s="413"/>
      <c r="Q48" s="413"/>
      <c r="R48" s="413"/>
      <c r="S48" s="413"/>
      <c r="T48" s="480" t="s">
        <v>471</v>
      </c>
      <c r="U48" s="481"/>
      <c r="V48" s="481"/>
      <c r="W48" s="481"/>
      <c r="X48" s="481"/>
      <c r="Y48" s="481"/>
      <c r="Z48" s="481"/>
      <c r="AA48" s="481"/>
      <c r="AB48" s="482"/>
    </row>
    <row r="49" spans="1:28">
      <c r="A49" s="413"/>
      <c r="B49" s="413"/>
      <c r="C49" s="413"/>
      <c r="D49" s="413"/>
      <c r="E49" s="413"/>
      <c r="F49" s="413"/>
      <c r="G49" s="413"/>
      <c r="H49" s="413"/>
      <c r="I49" s="413"/>
      <c r="J49" s="413"/>
      <c r="K49" s="413"/>
      <c r="L49" s="413"/>
      <c r="M49" s="413"/>
      <c r="N49" s="413"/>
      <c r="O49" s="413"/>
      <c r="P49" s="413"/>
      <c r="Q49" s="413"/>
      <c r="R49" s="413"/>
      <c r="S49" s="413"/>
      <c r="T49" s="480" t="s">
        <v>472</v>
      </c>
      <c r="U49" s="481"/>
      <c r="V49" s="481"/>
      <c r="W49" s="481"/>
      <c r="X49" s="481"/>
      <c r="Y49" s="481"/>
      <c r="Z49" s="481"/>
      <c r="AA49" s="481"/>
      <c r="AB49" s="482"/>
    </row>
    <row r="50" spans="1:28">
      <c r="A50" s="413"/>
      <c r="B50" s="413"/>
      <c r="C50" s="413"/>
      <c r="D50" s="413"/>
      <c r="E50" s="413"/>
      <c r="F50" s="413"/>
      <c r="G50" s="413"/>
      <c r="H50" s="413"/>
      <c r="I50" s="413"/>
      <c r="J50" s="413"/>
      <c r="K50" s="413"/>
      <c r="L50" s="413"/>
      <c r="M50" s="413"/>
      <c r="N50" s="413"/>
      <c r="O50" s="413"/>
      <c r="P50" s="413"/>
      <c r="Q50" s="413"/>
      <c r="R50" s="413"/>
      <c r="S50" s="413"/>
      <c r="T50" s="480" t="s">
        <v>473</v>
      </c>
      <c r="U50" s="481"/>
      <c r="V50" s="481"/>
      <c r="W50" s="481"/>
      <c r="X50" s="481"/>
      <c r="Y50" s="481"/>
      <c r="Z50" s="481"/>
      <c r="AA50" s="481"/>
      <c r="AB50" s="482"/>
    </row>
    <row r="51" spans="1:28">
      <c r="A51" s="413"/>
      <c r="B51" s="413"/>
      <c r="C51" s="413"/>
      <c r="D51" s="413"/>
      <c r="E51" s="413"/>
      <c r="F51" s="413"/>
      <c r="G51" s="413"/>
      <c r="H51" s="413"/>
      <c r="I51" s="413"/>
      <c r="J51" s="413"/>
      <c r="K51" s="413"/>
      <c r="L51" s="413"/>
      <c r="M51" s="413"/>
      <c r="N51" s="413"/>
      <c r="O51" s="413"/>
      <c r="P51" s="413"/>
      <c r="Q51" s="413"/>
      <c r="R51" s="413"/>
      <c r="S51" s="413"/>
      <c r="T51" s="480" t="s">
        <v>474</v>
      </c>
      <c r="U51" s="481"/>
      <c r="V51" s="481"/>
      <c r="W51" s="481"/>
      <c r="X51" s="481"/>
      <c r="Y51" s="481"/>
      <c r="Z51" s="481"/>
      <c r="AA51" s="481"/>
      <c r="AB51" s="482"/>
    </row>
    <row r="52" spans="1:28" ht="14.7" thickBot="1">
      <c r="A52" s="413"/>
      <c r="B52" s="413"/>
      <c r="C52" s="413"/>
      <c r="D52" s="413"/>
      <c r="E52" s="413"/>
      <c r="F52" s="413"/>
      <c r="G52" s="413"/>
      <c r="H52" s="413"/>
      <c r="I52" s="413"/>
      <c r="J52" s="413"/>
      <c r="K52" s="413"/>
      <c r="L52" s="413"/>
      <c r="M52" s="413"/>
      <c r="N52" s="413"/>
      <c r="O52" s="413"/>
      <c r="P52" s="413"/>
      <c r="Q52" s="413"/>
      <c r="R52" s="413"/>
      <c r="S52" s="413"/>
      <c r="T52" s="483" t="s">
        <v>475</v>
      </c>
      <c r="U52" s="484"/>
      <c r="V52" s="484"/>
      <c r="W52" s="484"/>
      <c r="X52" s="484"/>
      <c r="Y52" s="484"/>
      <c r="Z52" s="484"/>
      <c r="AA52" s="484"/>
      <c r="AB52" s="485"/>
    </row>
    <row r="53" spans="1:28">
      <c r="A53" s="413"/>
      <c r="B53" s="413"/>
      <c r="C53" s="413"/>
      <c r="D53" s="413"/>
      <c r="E53" s="413"/>
      <c r="F53" s="413"/>
      <c r="G53" s="413"/>
      <c r="H53" s="413"/>
      <c r="I53" s="413"/>
      <c r="J53" s="413"/>
      <c r="K53" s="413"/>
      <c r="L53" s="413"/>
      <c r="M53" s="413"/>
      <c r="N53" s="413"/>
      <c r="O53" s="413"/>
      <c r="P53" s="413"/>
      <c r="Q53" s="413"/>
      <c r="R53" s="413"/>
      <c r="S53" s="413"/>
      <c r="T53" s="415"/>
    </row>
    <row r="54" spans="1:28">
      <c r="A54" s="413"/>
      <c r="B54" s="413"/>
      <c r="C54" s="413"/>
      <c r="D54" s="413"/>
      <c r="E54" s="413"/>
      <c r="F54" s="413"/>
      <c r="G54" s="413"/>
      <c r="H54" s="413"/>
      <c r="I54" s="413"/>
      <c r="J54" s="413"/>
      <c r="K54" s="413"/>
      <c r="L54" s="413"/>
      <c r="M54" s="413"/>
      <c r="N54" s="413"/>
      <c r="O54" s="413"/>
      <c r="P54" s="413"/>
      <c r="Q54" s="413"/>
      <c r="R54" s="413"/>
      <c r="S54" s="413"/>
      <c r="T54" s="413"/>
    </row>
    <row r="55" spans="1:28">
      <c r="A55" s="413"/>
      <c r="B55" s="413"/>
      <c r="C55" s="413"/>
      <c r="D55" s="413"/>
      <c r="E55" s="413"/>
      <c r="F55" s="413"/>
      <c r="G55" s="413"/>
      <c r="H55" s="413"/>
      <c r="I55" s="413"/>
      <c r="J55" s="413"/>
      <c r="K55" s="413"/>
      <c r="L55" s="413"/>
      <c r="M55" s="413"/>
      <c r="N55" s="413"/>
      <c r="O55" s="413"/>
      <c r="P55" s="413"/>
      <c r="Q55" s="413"/>
      <c r="R55" s="413"/>
      <c r="S55" s="413"/>
      <c r="T55" s="413"/>
    </row>
    <row r="56" spans="1:28">
      <c r="A56" s="413"/>
      <c r="B56" s="413"/>
      <c r="C56" s="413"/>
      <c r="D56" s="413"/>
      <c r="E56" s="413"/>
      <c r="F56" s="413"/>
      <c r="G56" s="413"/>
      <c r="H56" s="413"/>
      <c r="I56" s="413"/>
      <c r="J56" s="413"/>
      <c r="K56" s="413"/>
      <c r="L56" s="413"/>
      <c r="M56" s="413"/>
      <c r="N56" s="413"/>
      <c r="O56" s="413"/>
      <c r="P56" s="413"/>
      <c r="Q56" s="413"/>
      <c r="R56" s="413"/>
      <c r="S56" s="413"/>
      <c r="T56" s="413"/>
    </row>
    <row r="57" spans="1:28">
      <c r="A57" s="413"/>
      <c r="B57" s="413"/>
      <c r="C57" s="413"/>
      <c r="D57" s="413"/>
      <c r="E57" s="413"/>
      <c r="F57" s="413"/>
      <c r="G57" s="413"/>
      <c r="H57" s="413"/>
      <c r="I57" s="413"/>
      <c r="J57" s="413"/>
      <c r="K57" s="413"/>
      <c r="L57" s="413"/>
      <c r="M57" s="413"/>
      <c r="N57" s="413"/>
      <c r="O57" s="413"/>
      <c r="P57" s="413"/>
      <c r="Q57" s="413"/>
      <c r="R57" s="413"/>
      <c r="S57" s="413"/>
      <c r="T57" s="413"/>
    </row>
    <row r="58" spans="1:28">
      <c r="A58" s="413"/>
      <c r="B58" s="413"/>
      <c r="C58" s="413"/>
      <c r="D58" s="413"/>
      <c r="E58" s="413"/>
      <c r="F58" s="413"/>
      <c r="G58" s="413"/>
      <c r="H58" s="413"/>
      <c r="I58" s="413"/>
      <c r="J58" s="413"/>
      <c r="K58" s="413"/>
      <c r="L58" s="413"/>
      <c r="M58" s="413"/>
      <c r="N58" s="413"/>
      <c r="O58" s="413"/>
      <c r="P58" s="413"/>
      <c r="Q58" s="413"/>
      <c r="R58" s="413"/>
      <c r="S58" s="413"/>
      <c r="T58" s="413"/>
    </row>
    <row r="59" spans="1:28">
      <c r="A59" s="413"/>
      <c r="B59" s="413"/>
      <c r="C59" s="413"/>
      <c r="D59" s="413"/>
      <c r="E59" s="413"/>
      <c r="F59" s="413"/>
      <c r="G59" s="413"/>
      <c r="H59" s="413"/>
      <c r="I59" s="413"/>
      <c r="J59" s="413"/>
      <c r="K59" s="413"/>
      <c r="L59" s="413"/>
      <c r="M59" s="413"/>
      <c r="N59" s="413"/>
      <c r="O59" s="413"/>
      <c r="P59" s="413"/>
      <c r="Q59" s="413"/>
      <c r="R59" s="413"/>
      <c r="S59" s="413"/>
      <c r="T59" s="413"/>
    </row>
    <row r="60" spans="1:28">
      <c r="A60" s="413"/>
      <c r="B60" s="413"/>
      <c r="C60" s="413"/>
      <c r="D60" s="413"/>
      <c r="E60" s="413"/>
      <c r="F60" s="413"/>
      <c r="G60" s="413"/>
      <c r="H60" s="413"/>
      <c r="I60" s="413"/>
      <c r="J60" s="413"/>
      <c r="K60" s="413"/>
      <c r="L60" s="413"/>
      <c r="M60" s="413"/>
      <c r="N60" s="413"/>
      <c r="O60" s="413"/>
      <c r="P60" s="413"/>
      <c r="Q60" s="413"/>
      <c r="R60" s="413"/>
      <c r="S60" s="413"/>
      <c r="T60" s="413"/>
    </row>
    <row r="61" spans="1:28">
      <c r="A61" s="413"/>
      <c r="B61" s="413"/>
      <c r="C61" s="413"/>
      <c r="D61" s="413"/>
      <c r="E61" s="413"/>
      <c r="F61" s="413"/>
      <c r="G61" s="413"/>
      <c r="H61" s="413"/>
      <c r="I61" s="413"/>
      <c r="J61" s="413"/>
      <c r="K61" s="413"/>
      <c r="L61" s="413"/>
      <c r="M61" s="413"/>
      <c r="N61" s="413"/>
      <c r="O61" s="413"/>
      <c r="P61" s="413"/>
      <c r="Q61" s="413"/>
      <c r="R61" s="413"/>
      <c r="S61" s="413"/>
      <c r="T61" s="413"/>
    </row>
    <row r="62" spans="1:28">
      <c r="A62" s="413"/>
      <c r="B62" s="413"/>
      <c r="C62" s="413"/>
      <c r="D62" s="413"/>
      <c r="E62" s="413"/>
      <c r="F62" s="413"/>
      <c r="G62" s="413"/>
      <c r="H62" s="413"/>
      <c r="I62" s="413"/>
      <c r="J62" s="413"/>
      <c r="K62" s="413"/>
      <c r="L62" s="413"/>
      <c r="M62" s="413"/>
      <c r="N62" s="413"/>
      <c r="O62" s="413"/>
      <c r="P62" s="413"/>
      <c r="Q62" s="413"/>
      <c r="R62" s="413"/>
      <c r="S62" s="413"/>
      <c r="T62" s="413"/>
    </row>
    <row r="63" spans="1:28">
      <c r="A63" s="413"/>
      <c r="B63" s="413"/>
      <c r="C63" s="413"/>
      <c r="D63" s="413"/>
      <c r="E63" s="413"/>
      <c r="F63" s="413"/>
      <c r="G63" s="413"/>
      <c r="H63" s="413"/>
      <c r="I63" s="413"/>
      <c r="J63" s="413"/>
      <c r="K63" s="413"/>
      <c r="L63" s="413"/>
      <c r="M63" s="413"/>
      <c r="N63" s="413"/>
      <c r="O63" s="413"/>
      <c r="P63" s="413"/>
      <c r="Q63" s="413"/>
      <c r="R63" s="413"/>
      <c r="S63" s="413"/>
      <c r="T63" s="413"/>
    </row>
    <row r="64" spans="1:28">
      <c r="A64" s="413"/>
      <c r="B64" s="413"/>
      <c r="C64" s="413"/>
      <c r="D64" s="413"/>
      <c r="E64" s="413"/>
      <c r="F64" s="413"/>
      <c r="G64" s="413"/>
      <c r="H64" s="413"/>
      <c r="I64" s="413"/>
      <c r="J64" s="413"/>
      <c r="K64" s="413"/>
      <c r="L64" s="413"/>
      <c r="M64" s="413"/>
      <c r="N64" s="413"/>
      <c r="O64" s="413"/>
      <c r="P64" s="413"/>
      <c r="Q64" s="413"/>
      <c r="R64" s="413"/>
      <c r="S64" s="413"/>
      <c r="T64" s="413"/>
    </row>
    <row r="65" spans="1:20">
      <c r="A65" s="413"/>
      <c r="B65" s="413"/>
      <c r="C65" s="413"/>
      <c r="D65" s="413"/>
      <c r="E65" s="413"/>
      <c r="F65" s="413"/>
      <c r="G65" s="413"/>
      <c r="H65" s="413"/>
      <c r="I65" s="413"/>
      <c r="J65" s="413"/>
      <c r="K65" s="413"/>
      <c r="L65" s="413"/>
      <c r="M65" s="413"/>
      <c r="N65" s="413"/>
      <c r="O65" s="413"/>
      <c r="P65" s="413"/>
      <c r="Q65" s="413"/>
      <c r="R65" s="413"/>
      <c r="S65" s="413"/>
      <c r="T65" s="413"/>
    </row>
    <row r="66" spans="1:20">
      <c r="A66" s="413"/>
      <c r="B66" s="413"/>
      <c r="C66" s="413"/>
      <c r="D66" s="413"/>
      <c r="E66" s="413"/>
      <c r="F66" s="413"/>
      <c r="G66" s="413"/>
      <c r="H66" s="413"/>
      <c r="I66" s="413"/>
      <c r="J66" s="413"/>
      <c r="K66" s="413"/>
      <c r="L66" s="413"/>
      <c r="M66" s="413"/>
      <c r="N66" s="413"/>
      <c r="O66" s="413"/>
      <c r="P66" s="413"/>
      <c r="Q66" s="413"/>
      <c r="R66" s="413"/>
      <c r="S66" s="413"/>
      <c r="T66" s="413"/>
    </row>
    <row r="67" spans="1:20">
      <c r="A67" s="413"/>
      <c r="B67" s="413"/>
      <c r="C67" s="413"/>
      <c r="D67" s="413"/>
      <c r="E67" s="413"/>
      <c r="F67" s="413"/>
      <c r="G67" s="413"/>
      <c r="H67" s="413"/>
      <c r="I67" s="413"/>
      <c r="J67" s="413"/>
      <c r="K67" s="413"/>
      <c r="L67" s="413"/>
      <c r="M67" s="413"/>
      <c r="N67" s="413"/>
      <c r="O67" s="413"/>
      <c r="P67" s="413"/>
      <c r="Q67" s="413"/>
      <c r="R67" s="413"/>
      <c r="S67" s="413"/>
      <c r="T67" s="413"/>
    </row>
    <row r="68" spans="1:20">
      <c r="A68" s="413"/>
      <c r="B68" s="413"/>
      <c r="C68" s="413"/>
      <c r="D68" s="413"/>
      <c r="E68" s="413"/>
      <c r="F68" s="413"/>
      <c r="G68" s="413"/>
      <c r="H68" s="413"/>
      <c r="I68" s="413"/>
      <c r="J68" s="413"/>
      <c r="K68" s="413"/>
      <c r="L68" s="413"/>
      <c r="M68" s="413"/>
      <c r="N68" s="413"/>
      <c r="O68" s="413"/>
      <c r="P68" s="413"/>
      <c r="Q68" s="413"/>
      <c r="R68" s="413"/>
      <c r="S68" s="413"/>
      <c r="T68" s="413"/>
    </row>
    <row r="69" spans="1:20">
      <c r="A69" s="413"/>
      <c r="B69" s="413"/>
      <c r="C69" s="413"/>
      <c r="D69" s="413"/>
      <c r="E69" s="413"/>
      <c r="F69" s="413"/>
      <c r="G69" s="413"/>
      <c r="H69" s="413"/>
      <c r="I69" s="413"/>
      <c r="J69" s="413"/>
      <c r="K69" s="413"/>
      <c r="L69" s="413"/>
      <c r="M69" s="413"/>
      <c r="N69" s="413"/>
      <c r="O69" s="413"/>
      <c r="P69" s="413"/>
      <c r="Q69" s="413"/>
      <c r="R69" s="413"/>
      <c r="S69" s="413"/>
      <c r="T69" s="413"/>
    </row>
    <row r="70" spans="1:20">
      <c r="A70" s="413"/>
      <c r="B70" s="413"/>
      <c r="C70" s="413"/>
      <c r="D70" s="413"/>
      <c r="E70" s="413"/>
      <c r="F70" s="413"/>
      <c r="G70" s="413"/>
      <c r="H70" s="413"/>
      <c r="I70" s="413"/>
      <c r="J70" s="413"/>
      <c r="K70" s="413"/>
      <c r="L70" s="413"/>
      <c r="M70" s="413"/>
      <c r="N70" s="413"/>
      <c r="O70" s="413"/>
      <c r="P70" s="413"/>
      <c r="Q70" s="413"/>
      <c r="R70" s="413"/>
      <c r="S70" s="413"/>
      <c r="T70" s="413"/>
    </row>
    <row r="71" spans="1:20">
      <c r="A71" s="413"/>
      <c r="B71" s="413"/>
      <c r="C71" s="413"/>
      <c r="D71" s="413"/>
      <c r="E71" s="413"/>
      <c r="F71" s="413"/>
      <c r="G71" s="413"/>
      <c r="H71" s="413"/>
      <c r="I71" s="413"/>
      <c r="J71" s="413"/>
      <c r="K71" s="413"/>
      <c r="L71" s="413"/>
      <c r="M71" s="413"/>
      <c r="N71" s="413"/>
      <c r="O71" s="413"/>
      <c r="P71" s="413"/>
      <c r="Q71" s="413"/>
      <c r="R71" s="413"/>
      <c r="S71" s="413"/>
      <c r="T71" s="413"/>
    </row>
    <row r="72" spans="1:20">
      <c r="A72" s="413"/>
      <c r="B72" s="413"/>
      <c r="C72" s="413"/>
      <c r="D72" s="413"/>
      <c r="E72" s="413"/>
      <c r="F72" s="413"/>
      <c r="G72" s="413"/>
      <c r="H72" s="413"/>
      <c r="I72" s="413"/>
      <c r="J72" s="413"/>
      <c r="K72" s="413"/>
      <c r="L72" s="413"/>
      <c r="M72" s="413"/>
      <c r="N72" s="413"/>
      <c r="O72" s="413"/>
      <c r="P72" s="413"/>
      <c r="Q72" s="413"/>
      <c r="R72" s="413"/>
      <c r="S72" s="413"/>
      <c r="T72" s="413"/>
    </row>
    <row r="73" spans="1:20">
      <c r="A73" s="413"/>
      <c r="B73" s="413"/>
      <c r="C73" s="413"/>
      <c r="D73" s="413"/>
      <c r="E73" s="413"/>
      <c r="F73" s="413"/>
      <c r="G73" s="413"/>
      <c r="H73" s="413"/>
      <c r="I73" s="413"/>
      <c r="J73" s="413"/>
      <c r="K73" s="413"/>
      <c r="L73" s="413"/>
      <c r="M73" s="413"/>
      <c r="N73" s="413"/>
      <c r="O73" s="413"/>
      <c r="P73" s="413"/>
      <c r="Q73" s="413"/>
      <c r="R73" s="413"/>
      <c r="S73" s="413"/>
      <c r="T73" s="413"/>
    </row>
    <row r="74" spans="1:20">
      <c r="A74" s="413"/>
      <c r="B74" s="413"/>
      <c r="C74" s="413"/>
      <c r="D74" s="413"/>
      <c r="E74" s="413"/>
      <c r="F74" s="413"/>
      <c r="G74" s="413"/>
      <c r="H74" s="413"/>
      <c r="I74" s="413"/>
      <c r="J74" s="413"/>
      <c r="K74" s="413"/>
      <c r="L74" s="413"/>
      <c r="M74" s="413"/>
      <c r="N74" s="413"/>
      <c r="O74" s="413"/>
      <c r="P74" s="413"/>
      <c r="Q74" s="413"/>
      <c r="R74" s="413"/>
      <c r="S74" s="413"/>
      <c r="T74" s="413"/>
    </row>
    <row r="75" spans="1:20">
      <c r="A75" s="413"/>
      <c r="B75" s="413"/>
      <c r="C75" s="413"/>
      <c r="D75" s="413"/>
      <c r="E75" s="413"/>
      <c r="F75" s="413"/>
      <c r="G75" s="413"/>
      <c r="H75" s="413"/>
      <c r="I75" s="413"/>
      <c r="J75" s="413"/>
      <c r="K75" s="413"/>
      <c r="L75" s="413"/>
      <c r="M75" s="413"/>
      <c r="N75" s="413"/>
      <c r="O75" s="413"/>
      <c r="P75" s="413"/>
      <c r="Q75" s="413"/>
      <c r="R75" s="413"/>
      <c r="S75" s="413"/>
      <c r="T75" s="413"/>
    </row>
    <row r="76" spans="1:20">
      <c r="A76" s="413"/>
      <c r="B76" s="413"/>
      <c r="C76" s="413"/>
      <c r="D76" s="413"/>
      <c r="E76" s="413"/>
      <c r="F76" s="413"/>
      <c r="G76" s="413"/>
      <c r="H76" s="413"/>
      <c r="I76" s="413"/>
      <c r="J76" s="413"/>
      <c r="K76" s="413"/>
      <c r="L76" s="413"/>
      <c r="M76" s="413"/>
      <c r="N76" s="413"/>
      <c r="O76" s="413"/>
      <c r="P76" s="413"/>
      <c r="Q76" s="413"/>
      <c r="R76" s="413"/>
      <c r="S76" s="413"/>
      <c r="T76" s="413"/>
    </row>
    <row r="77" spans="1:20">
      <c r="A77" s="413"/>
      <c r="B77" s="413"/>
      <c r="C77" s="413"/>
      <c r="D77" s="413"/>
      <c r="E77" s="413"/>
      <c r="F77" s="413"/>
      <c r="G77" s="413"/>
      <c r="H77" s="413"/>
      <c r="I77" s="413"/>
      <c r="J77" s="413"/>
      <c r="K77" s="413"/>
      <c r="L77" s="413"/>
      <c r="M77" s="413"/>
      <c r="N77" s="413"/>
      <c r="O77" s="413"/>
      <c r="P77" s="413"/>
      <c r="Q77" s="413"/>
      <c r="R77" s="413"/>
      <c r="S77" s="413"/>
      <c r="T77" s="413"/>
    </row>
    <row r="78" spans="1:20">
      <c r="A78" s="413"/>
      <c r="B78" s="413"/>
      <c r="C78" s="413"/>
      <c r="D78" s="413"/>
      <c r="E78" s="413"/>
      <c r="F78" s="413"/>
      <c r="G78" s="413"/>
      <c r="H78" s="413"/>
      <c r="I78" s="413"/>
      <c r="J78" s="413"/>
      <c r="K78" s="413"/>
      <c r="L78" s="413"/>
      <c r="M78" s="413"/>
      <c r="N78" s="413"/>
      <c r="O78" s="413"/>
      <c r="P78" s="413"/>
      <c r="Q78" s="413"/>
      <c r="R78" s="413"/>
      <c r="S78" s="413"/>
      <c r="T78" s="413"/>
    </row>
    <row r="79" spans="1:20">
      <c r="A79" s="413"/>
      <c r="B79" s="413"/>
      <c r="C79" s="413"/>
      <c r="D79" s="413"/>
      <c r="E79" s="413"/>
      <c r="F79" s="413"/>
      <c r="G79" s="413"/>
      <c r="H79" s="413"/>
      <c r="I79" s="413"/>
      <c r="J79" s="413"/>
      <c r="K79" s="413"/>
      <c r="L79" s="413"/>
      <c r="M79" s="413"/>
      <c r="N79" s="413"/>
      <c r="O79" s="413"/>
      <c r="P79" s="413"/>
      <c r="Q79" s="413"/>
      <c r="R79" s="413"/>
      <c r="S79" s="413"/>
      <c r="T79" s="413"/>
    </row>
    <row r="80" spans="1:20">
      <c r="A80" s="413"/>
      <c r="B80" s="413"/>
      <c r="C80" s="413"/>
      <c r="D80" s="413"/>
      <c r="E80" s="413"/>
      <c r="F80" s="413"/>
      <c r="G80" s="413"/>
      <c r="H80" s="413"/>
      <c r="I80" s="413"/>
      <c r="J80" s="413"/>
      <c r="K80" s="413"/>
      <c r="L80" s="413"/>
      <c r="M80" s="413"/>
      <c r="N80" s="413"/>
      <c r="O80" s="413"/>
      <c r="P80" s="413"/>
      <c r="Q80" s="413"/>
      <c r="R80" s="413"/>
      <c r="S80" s="413"/>
      <c r="T80" s="413"/>
    </row>
    <row r="81" spans="1:20">
      <c r="A81" s="413"/>
      <c r="B81" s="413"/>
      <c r="C81" s="413"/>
      <c r="D81" s="413"/>
      <c r="E81" s="413"/>
      <c r="F81" s="413"/>
      <c r="G81" s="413"/>
      <c r="H81" s="413"/>
      <c r="I81" s="413"/>
      <c r="J81" s="413"/>
      <c r="K81" s="413"/>
      <c r="L81" s="413"/>
      <c r="M81" s="413"/>
      <c r="N81" s="413"/>
      <c r="O81" s="413"/>
      <c r="P81" s="413"/>
      <c r="Q81" s="413"/>
      <c r="R81" s="413"/>
      <c r="S81" s="413"/>
      <c r="T81" s="413"/>
    </row>
    <row r="82" spans="1:20">
      <c r="A82" s="413"/>
      <c r="B82" s="413"/>
      <c r="C82" s="413"/>
      <c r="D82" s="413"/>
      <c r="E82" s="413"/>
      <c r="F82" s="413"/>
      <c r="G82" s="413"/>
      <c r="H82" s="413"/>
      <c r="I82" s="413"/>
      <c r="J82" s="413"/>
      <c r="K82" s="413"/>
      <c r="L82" s="413"/>
      <c r="M82" s="413"/>
      <c r="N82" s="413"/>
      <c r="O82" s="413"/>
      <c r="P82" s="413"/>
      <c r="Q82" s="413"/>
      <c r="R82" s="413"/>
      <c r="S82" s="413"/>
      <c r="T82" s="413"/>
    </row>
    <row r="83" spans="1:20">
      <c r="A83" s="413"/>
      <c r="B83" s="413"/>
      <c r="C83" s="413"/>
      <c r="D83" s="413"/>
      <c r="E83" s="413"/>
      <c r="F83" s="413"/>
      <c r="G83" s="413"/>
      <c r="H83" s="413"/>
      <c r="I83" s="413"/>
      <c r="J83" s="413"/>
      <c r="K83" s="413"/>
      <c r="L83" s="413"/>
      <c r="M83" s="413"/>
      <c r="N83" s="413"/>
      <c r="O83" s="413"/>
      <c r="P83" s="413"/>
      <c r="Q83" s="413"/>
      <c r="R83" s="413"/>
      <c r="S83" s="413"/>
      <c r="T83" s="413"/>
    </row>
    <row r="84" spans="1:20">
      <c r="A84" s="413"/>
      <c r="B84" s="413"/>
      <c r="C84" s="413"/>
      <c r="D84" s="413"/>
      <c r="E84" s="413"/>
      <c r="F84" s="413"/>
      <c r="G84" s="413"/>
      <c r="H84" s="413"/>
      <c r="I84" s="413"/>
      <c r="J84" s="413"/>
      <c r="K84" s="413"/>
      <c r="L84" s="413"/>
      <c r="M84" s="413"/>
      <c r="N84" s="413"/>
      <c r="O84" s="413"/>
      <c r="P84" s="413"/>
      <c r="Q84" s="413"/>
      <c r="R84" s="413"/>
      <c r="S84" s="413"/>
      <c r="T84" s="413"/>
    </row>
    <row r="85" spans="1:20">
      <c r="A85" s="413"/>
      <c r="B85" s="413"/>
      <c r="C85" s="413"/>
      <c r="D85" s="413"/>
      <c r="E85" s="413"/>
      <c r="F85" s="413"/>
      <c r="G85" s="413"/>
      <c r="H85" s="413"/>
      <c r="I85" s="413"/>
      <c r="J85" s="413"/>
      <c r="K85" s="413"/>
      <c r="L85" s="413"/>
      <c r="M85" s="413"/>
      <c r="N85" s="413"/>
      <c r="O85" s="413"/>
      <c r="P85" s="413"/>
      <c r="Q85" s="413"/>
      <c r="R85" s="413"/>
      <c r="S85" s="413"/>
      <c r="T85" s="413"/>
    </row>
    <row r="86" spans="1:20">
      <c r="A86" s="413"/>
      <c r="B86" s="413"/>
      <c r="C86" s="413"/>
      <c r="D86" s="413"/>
      <c r="E86" s="413"/>
      <c r="F86" s="413"/>
      <c r="G86" s="413"/>
      <c r="H86" s="413"/>
      <c r="I86" s="413"/>
      <c r="J86" s="413"/>
      <c r="K86" s="413"/>
      <c r="L86" s="413"/>
      <c r="M86" s="413"/>
      <c r="N86" s="413"/>
      <c r="O86" s="413"/>
      <c r="P86" s="413"/>
      <c r="Q86" s="413"/>
      <c r="R86" s="413"/>
      <c r="S86" s="413"/>
      <c r="T86" s="413"/>
    </row>
    <row r="87" spans="1:20">
      <c r="A87" s="413"/>
      <c r="B87" s="413"/>
      <c r="C87" s="413"/>
      <c r="D87" s="413"/>
      <c r="E87" s="413"/>
      <c r="F87" s="413"/>
      <c r="G87" s="413"/>
      <c r="H87" s="413"/>
      <c r="I87" s="413"/>
      <c r="J87" s="413"/>
      <c r="K87" s="413"/>
      <c r="L87" s="413"/>
      <c r="M87" s="413"/>
      <c r="N87" s="413"/>
      <c r="O87" s="413"/>
      <c r="P87" s="413"/>
      <c r="Q87" s="413"/>
      <c r="R87" s="413"/>
      <c r="S87" s="413"/>
      <c r="T87" s="413"/>
    </row>
    <row r="88" spans="1:20">
      <c r="A88" s="413"/>
      <c r="B88" s="413"/>
      <c r="C88" s="413"/>
      <c r="D88" s="413"/>
      <c r="E88" s="413"/>
      <c r="F88" s="413"/>
      <c r="G88" s="413"/>
      <c r="H88" s="413"/>
      <c r="I88" s="413"/>
      <c r="J88" s="413"/>
      <c r="K88" s="413"/>
      <c r="L88" s="413"/>
      <c r="M88" s="413"/>
      <c r="N88" s="413"/>
      <c r="O88" s="413"/>
      <c r="P88" s="413"/>
      <c r="Q88" s="413"/>
      <c r="R88" s="413"/>
      <c r="S88" s="413"/>
      <c r="T88" s="413"/>
    </row>
    <row r="89" spans="1:20">
      <c r="A89" s="413"/>
      <c r="B89" s="413"/>
      <c r="C89" s="413"/>
      <c r="D89" s="413"/>
      <c r="E89" s="413"/>
      <c r="F89" s="413"/>
      <c r="G89" s="413"/>
      <c r="H89" s="413"/>
      <c r="I89" s="413"/>
      <c r="J89" s="413"/>
      <c r="K89" s="413"/>
      <c r="L89" s="413"/>
      <c r="M89" s="413"/>
      <c r="N89" s="413"/>
      <c r="O89" s="413"/>
      <c r="P89" s="413"/>
      <c r="Q89" s="413"/>
      <c r="R89" s="413"/>
      <c r="S89" s="413"/>
      <c r="T89" s="413"/>
    </row>
  </sheetData>
  <mergeCells count="4">
    <mergeCell ref="A30:A31"/>
    <mergeCell ref="B30:B31"/>
    <mergeCell ref="R30:R31"/>
    <mergeCell ref="A32:A41"/>
  </mergeCells>
  <dataValidations count="1">
    <dataValidation type="list" allowBlank="1" showInputMessage="1" showErrorMessage="1" sqref="C12 E12 G12 I12 K12 M12 O12 Q12 S12" xr:uid="{00000000-0002-0000-0900-000000000000}">
      <formula1>$R$2:$R$3</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9">
    <tabColor theme="9" tint="-0.249977111117893"/>
  </sheetPr>
  <dimension ref="A1:AH245"/>
  <sheetViews>
    <sheetView showGridLines="0" zoomScaleNormal="100" workbookViewId="0">
      <selection activeCell="I4" sqref="I4"/>
    </sheetView>
  </sheetViews>
  <sheetFormatPr defaultColWidth="8.8203125" defaultRowHeight="13.8"/>
  <cols>
    <col min="1" max="1" width="29.17578125" style="411" bestFit="1" customWidth="1"/>
    <col min="2" max="2" width="13.29296875" style="411" customWidth="1"/>
    <col min="3" max="3" width="14" style="411" customWidth="1"/>
    <col min="4" max="7" width="8.8203125" style="411"/>
    <col min="8" max="8" width="10.29296875" style="411" customWidth="1"/>
    <col min="9" max="16384" width="8.8203125" style="411"/>
  </cols>
  <sheetData>
    <row r="1" spans="1:34">
      <c r="A1" s="407">
        <v>1</v>
      </c>
      <c r="B1" s="408"/>
      <c r="C1" s="409"/>
      <c r="D1" s="409"/>
      <c r="E1" s="409"/>
      <c r="F1" s="409"/>
      <c r="G1" s="409"/>
      <c r="H1" s="408"/>
      <c r="I1" s="410"/>
      <c r="J1" s="410"/>
      <c r="K1" s="410"/>
      <c r="L1" s="410"/>
      <c r="M1" s="410"/>
      <c r="N1" s="410"/>
      <c r="O1" s="410"/>
      <c r="P1" s="410"/>
      <c r="Q1" s="410"/>
      <c r="R1" s="410"/>
      <c r="S1" s="410"/>
      <c r="T1" s="410"/>
      <c r="U1" s="410"/>
      <c r="V1" s="410"/>
      <c r="W1" s="410"/>
      <c r="X1" s="410"/>
      <c r="Y1" s="410"/>
      <c r="Z1" s="410"/>
      <c r="AA1" s="410"/>
      <c r="AB1" s="410"/>
      <c r="AC1" s="410"/>
      <c r="AD1" s="410"/>
      <c r="AE1" s="410"/>
      <c r="AF1" s="410"/>
      <c r="AG1" s="410"/>
      <c r="AH1" s="410"/>
    </row>
    <row r="2" spans="1:34">
      <c r="A2" s="407">
        <v>1</v>
      </c>
      <c r="B2" s="408"/>
      <c r="C2" s="409"/>
      <c r="D2" s="408"/>
      <c r="E2" s="408"/>
      <c r="F2" s="408"/>
      <c r="G2" s="408"/>
      <c r="H2" s="408"/>
      <c r="I2" s="410"/>
      <c r="J2" s="410"/>
      <c r="K2" s="410"/>
      <c r="L2" s="410"/>
      <c r="M2" s="410"/>
      <c r="N2" s="410"/>
      <c r="O2" s="410"/>
      <c r="P2" s="410"/>
      <c r="Q2" s="410"/>
      <c r="R2" s="410"/>
      <c r="S2" s="410"/>
      <c r="T2" s="410"/>
      <c r="U2" s="410"/>
      <c r="V2" s="410"/>
      <c r="W2" s="410"/>
      <c r="X2" s="410"/>
      <c r="Y2" s="410"/>
      <c r="Z2" s="410"/>
      <c r="AA2" s="410"/>
      <c r="AB2" s="410"/>
      <c r="AC2" s="410"/>
      <c r="AD2" s="410"/>
      <c r="AE2" s="410"/>
      <c r="AF2" s="410"/>
      <c r="AG2" s="410"/>
      <c r="AH2" s="410"/>
    </row>
    <row r="3" spans="1:34">
      <c r="A3" s="407">
        <v>1</v>
      </c>
      <c r="B3" s="408"/>
      <c r="C3" s="409"/>
      <c r="D3" s="408"/>
      <c r="E3" s="408"/>
      <c r="F3" s="408"/>
      <c r="G3" s="408"/>
      <c r="H3" s="408"/>
      <c r="I3" s="410"/>
      <c r="J3" s="410"/>
      <c r="K3" s="410"/>
      <c r="L3" s="410"/>
      <c r="M3" s="410"/>
      <c r="N3" s="410"/>
      <c r="O3" s="410"/>
      <c r="P3" s="410"/>
      <c r="Q3" s="410"/>
      <c r="R3" s="410"/>
      <c r="S3" s="410"/>
      <c r="T3" s="410"/>
      <c r="U3" s="410"/>
      <c r="V3" s="410"/>
      <c r="W3" s="410"/>
      <c r="X3" s="410"/>
      <c r="Y3" s="410"/>
      <c r="Z3" s="410"/>
      <c r="AA3" s="410"/>
      <c r="AB3" s="410"/>
      <c r="AC3" s="410"/>
      <c r="AD3" s="410"/>
      <c r="AE3" s="410"/>
      <c r="AF3" s="410"/>
      <c r="AG3" s="410"/>
      <c r="AH3" s="410"/>
    </row>
    <row r="4" spans="1:34">
      <c r="A4" s="408"/>
      <c r="B4" s="408"/>
      <c r="C4" s="408"/>
      <c r="D4" s="408"/>
      <c r="E4" s="408"/>
      <c r="F4" s="408"/>
      <c r="G4" s="408"/>
      <c r="H4" s="408"/>
      <c r="I4" s="410"/>
      <c r="J4" s="410"/>
      <c r="K4" s="410"/>
      <c r="L4" s="410"/>
      <c r="M4" s="410"/>
      <c r="N4" s="410"/>
      <c r="O4" s="410"/>
      <c r="P4" s="410"/>
      <c r="Q4" s="410"/>
      <c r="R4" s="410"/>
      <c r="S4" s="410"/>
      <c r="T4" s="410"/>
      <c r="U4" s="410"/>
      <c r="V4" s="410"/>
      <c r="W4" s="410"/>
      <c r="X4" s="410"/>
      <c r="Y4" s="410"/>
      <c r="Z4" s="410"/>
      <c r="AA4" s="410"/>
      <c r="AB4" s="410"/>
      <c r="AC4" s="410"/>
      <c r="AD4" s="410"/>
      <c r="AE4" s="410"/>
      <c r="AF4" s="410"/>
      <c r="AG4" s="410"/>
      <c r="AH4" s="410"/>
    </row>
    <row r="5" spans="1:34">
      <c r="A5" s="408"/>
      <c r="B5" s="408"/>
      <c r="C5" s="408"/>
      <c r="D5" s="408"/>
      <c r="E5" s="408"/>
      <c r="F5" s="408"/>
      <c r="G5" s="408"/>
      <c r="H5" s="408"/>
      <c r="I5" s="410"/>
      <c r="J5" s="410"/>
      <c r="K5" s="410"/>
      <c r="L5" s="410"/>
      <c r="M5" s="410"/>
      <c r="N5" s="410"/>
      <c r="O5" s="410"/>
      <c r="P5" s="410"/>
      <c r="Q5" s="410"/>
      <c r="R5" s="410"/>
      <c r="S5" s="410"/>
      <c r="T5" s="410"/>
      <c r="U5" s="410"/>
      <c r="V5" s="410"/>
      <c r="W5" s="410"/>
      <c r="X5" s="410"/>
      <c r="Y5" s="410"/>
      <c r="Z5" s="410"/>
      <c r="AA5" s="410"/>
      <c r="AB5" s="410"/>
      <c r="AC5" s="410"/>
      <c r="AD5" s="410"/>
      <c r="AE5" s="410"/>
      <c r="AF5" s="410"/>
      <c r="AG5" s="410"/>
      <c r="AH5" s="410"/>
    </row>
    <row r="6" spans="1:34">
      <c r="A6" s="408"/>
      <c r="B6" s="408"/>
      <c r="C6" s="408"/>
      <c r="D6" s="408"/>
      <c r="E6" s="408"/>
      <c r="F6" s="408"/>
      <c r="G6" s="408"/>
      <c r="H6" s="408"/>
      <c r="I6" s="410"/>
      <c r="J6" s="410"/>
      <c r="K6" s="410"/>
      <c r="L6" s="410"/>
      <c r="M6" s="410"/>
      <c r="N6" s="410"/>
      <c r="O6" s="410"/>
      <c r="P6" s="410"/>
      <c r="Q6" s="410"/>
      <c r="R6" s="410"/>
      <c r="S6" s="410"/>
      <c r="T6" s="410"/>
      <c r="U6" s="410"/>
      <c r="V6" s="410"/>
      <c r="W6" s="410"/>
      <c r="X6" s="410"/>
      <c r="Y6" s="410"/>
      <c r="Z6" s="410"/>
      <c r="AA6" s="410"/>
      <c r="AB6" s="410"/>
      <c r="AC6" s="410"/>
      <c r="AD6" s="410"/>
      <c r="AE6" s="410"/>
      <c r="AF6" s="410"/>
      <c r="AG6" s="410"/>
      <c r="AH6" s="410"/>
    </row>
    <row r="7" spans="1:34">
      <c r="A7" s="408"/>
      <c r="B7" s="408"/>
      <c r="C7" s="408"/>
      <c r="D7" s="408"/>
      <c r="E7" s="408"/>
      <c r="F7" s="408"/>
      <c r="G7" s="408"/>
      <c r="H7" s="408"/>
      <c r="I7" s="410"/>
      <c r="J7" s="410"/>
      <c r="K7" s="410"/>
      <c r="L7" s="410"/>
      <c r="M7" s="410"/>
      <c r="N7" s="410"/>
      <c r="O7" s="410"/>
      <c r="P7" s="410"/>
      <c r="Q7" s="410"/>
      <c r="R7" s="410"/>
      <c r="S7" s="410"/>
      <c r="T7" s="410"/>
      <c r="U7" s="410"/>
      <c r="V7" s="410"/>
      <c r="W7" s="410"/>
      <c r="X7" s="410"/>
      <c r="Y7" s="410"/>
      <c r="Z7" s="410"/>
      <c r="AA7" s="410"/>
      <c r="AB7" s="410"/>
      <c r="AC7" s="410"/>
      <c r="AD7" s="410"/>
      <c r="AE7" s="410"/>
      <c r="AF7" s="410"/>
      <c r="AG7" s="410"/>
      <c r="AH7" s="410"/>
    </row>
    <row r="8" spans="1:34">
      <c r="A8" s="408"/>
      <c r="B8" s="408"/>
      <c r="C8" s="408"/>
      <c r="D8" s="408"/>
      <c r="E8" s="408"/>
      <c r="F8" s="408"/>
      <c r="G8" s="408"/>
      <c r="H8" s="408"/>
      <c r="I8" s="410"/>
      <c r="J8" s="410"/>
      <c r="K8" s="410"/>
      <c r="L8" s="410"/>
      <c r="M8" s="410"/>
      <c r="N8" s="410"/>
      <c r="O8" s="410"/>
      <c r="P8" s="410"/>
      <c r="Q8" s="410"/>
      <c r="R8" s="410"/>
      <c r="S8" s="410"/>
      <c r="T8" s="410"/>
      <c r="U8" s="410"/>
      <c r="V8" s="410"/>
      <c r="W8" s="410"/>
      <c r="X8" s="410"/>
      <c r="Y8" s="410"/>
      <c r="Z8" s="410"/>
      <c r="AA8" s="410"/>
      <c r="AB8" s="410"/>
      <c r="AC8" s="410"/>
      <c r="AD8" s="410"/>
      <c r="AE8" s="410"/>
      <c r="AF8" s="410"/>
      <c r="AG8" s="410"/>
      <c r="AH8" s="410"/>
    </row>
    <row r="9" spans="1:34">
      <c r="A9" s="408"/>
      <c r="B9" s="408"/>
      <c r="C9" s="408"/>
      <c r="D9" s="408"/>
      <c r="E9" s="408"/>
      <c r="F9" s="408"/>
      <c r="G9" s="408"/>
      <c r="H9" s="408"/>
      <c r="I9" s="410"/>
      <c r="J9" s="410"/>
      <c r="K9" s="410"/>
      <c r="L9" s="410"/>
      <c r="M9" s="410"/>
      <c r="N9" s="410"/>
      <c r="O9" s="410"/>
      <c r="P9" s="410"/>
      <c r="Q9" s="410"/>
      <c r="R9" s="410"/>
      <c r="S9" s="410"/>
      <c r="T9" s="410"/>
      <c r="U9" s="410"/>
      <c r="V9" s="410"/>
      <c r="W9" s="410"/>
      <c r="X9" s="410"/>
      <c r="Y9" s="410"/>
      <c r="Z9" s="410"/>
      <c r="AA9" s="410"/>
      <c r="AB9" s="410"/>
      <c r="AC9" s="410"/>
      <c r="AD9" s="410"/>
      <c r="AE9" s="410"/>
      <c r="AF9" s="410"/>
      <c r="AG9" s="410"/>
      <c r="AH9" s="410"/>
    </row>
    <row r="10" spans="1:34">
      <c r="A10" s="408"/>
      <c r="B10" s="408"/>
      <c r="C10" s="408"/>
      <c r="D10" s="408"/>
      <c r="E10" s="408"/>
      <c r="F10" s="408"/>
      <c r="G10" s="408"/>
      <c r="H10" s="408"/>
      <c r="I10" s="410"/>
      <c r="J10" s="410"/>
      <c r="K10" s="410"/>
      <c r="L10" s="410"/>
      <c r="M10" s="410"/>
      <c r="N10" s="410"/>
      <c r="O10" s="410"/>
      <c r="P10" s="410"/>
      <c r="Q10" s="410"/>
      <c r="R10" s="410"/>
      <c r="S10" s="410"/>
      <c r="T10" s="410"/>
      <c r="U10" s="410"/>
      <c r="V10" s="410"/>
      <c r="W10" s="410"/>
      <c r="X10" s="410"/>
      <c r="Y10" s="410"/>
      <c r="Z10" s="410"/>
      <c r="AA10" s="410"/>
      <c r="AB10" s="410"/>
      <c r="AC10" s="410"/>
      <c r="AD10" s="410"/>
      <c r="AE10" s="410"/>
      <c r="AF10" s="410"/>
      <c r="AG10" s="410"/>
      <c r="AH10" s="410"/>
    </row>
    <row r="11" spans="1:34">
      <c r="A11" s="408"/>
      <c r="B11" s="408"/>
      <c r="C11" s="408"/>
      <c r="D11" s="408"/>
      <c r="E11" s="408"/>
      <c r="F11" s="408"/>
      <c r="G11" s="408"/>
      <c r="H11" s="408"/>
      <c r="I11" s="410"/>
      <c r="J11" s="410"/>
      <c r="K11" s="410"/>
      <c r="L11" s="410"/>
      <c r="M11" s="410"/>
      <c r="N11" s="410"/>
      <c r="O11" s="410"/>
      <c r="P11" s="410"/>
      <c r="Q11" s="410"/>
      <c r="R11" s="410"/>
      <c r="S11" s="410"/>
      <c r="T11" s="410"/>
      <c r="U11" s="410"/>
      <c r="V11" s="410"/>
      <c r="W11" s="410"/>
      <c r="X11" s="410"/>
      <c r="Y11" s="410"/>
      <c r="Z11" s="410"/>
      <c r="AA11" s="410"/>
      <c r="AB11" s="410"/>
      <c r="AC11" s="410"/>
      <c r="AD11" s="410"/>
      <c r="AE11" s="410"/>
      <c r="AF11" s="410"/>
      <c r="AG11" s="410"/>
      <c r="AH11" s="410"/>
    </row>
    <row r="12" spans="1:34">
      <c r="A12" s="408"/>
      <c r="B12" s="408"/>
      <c r="C12" s="408"/>
      <c r="D12" s="408"/>
      <c r="E12" s="408"/>
      <c r="F12" s="408"/>
      <c r="G12" s="408"/>
      <c r="H12" s="408"/>
      <c r="I12" s="410"/>
      <c r="J12" s="410"/>
      <c r="K12" s="410"/>
      <c r="L12" s="410"/>
      <c r="M12" s="410"/>
      <c r="N12" s="410"/>
      <c r="O12" s="410"/>
      <c r="P12" s="410"/>
      <c r="Q12" s="410"/>
      <c r="R12" s="410"/>
      <c r="S12" s="410"/>
      <c r="T12" s="410"/>
      <c r="U12" s="410"/>
      <c r="V12" s="410"/>
      <c r="W12" s="410"/>
      <c r="X12" s="410"/>
      <c r="Y12" s="410"/>
      <c r="Z12" s="410"/>
      <c r="AA12" s="410"/>
      <c r="AB12" s="410"/>
      <c r="AC12" s="410"/>
      <c r="AD12" s="410"/>
      <c r="AE12" s="410"/>
      <c r="AF12" s="410"/>
      <c r="AG12" s="410"/>
      <c r="AH12" s="410"/>
    </row>
    <row r="13" spans="1:34">
      <c r="A13" s="408"/>
      <c r="B13" s="408"/>
      <c r="C13" s="408"/>
      <c r="D13" s="408"/>
      <c r="E13" s="408"/>
      <c r="F13" s="408"/>
      <c r="G13" s="408"/>
      <c r="H13" s="408"/>
      <c r="I13" s="410"/>
      <c r="J13" s="410"/>
      <c r="K13" s="410"/>
      <c r="L13" s="410"/>
      <c r="M13" s="410"/>
      <c r="N13" s="410"/>
      <c r="O13" s="410"/>
      <c r="P13" s="410"/>
      <c r="Q13" s="410"/>
      <c r="R13" s="410"/>
      <c r="S13" s="410"/>
      <c r="T13" s="410"/>
      <c r="U13" s="410"/>
      <c r="V13" s="410"/>
      <c r="W13" s="410"/>
      <c r="X13" s="410"/>
      <c r="Y13" s="410"/>
      <c r="Z13" s="410"/>
      <c r="AA13" s="410"/>
      <c r="AB13" s="410"/>
      <c r="AC13" s="410"/>
      <c r="AD13" s="410"/>
      <c r="AE13" s="410"/>
      <c r="AF13" s="410"/>
      <c r="AG13" s="410"/>
      <c r="AH13" s="410"/>
    </row>
    <row r="14" spans="1:34">
      <c r="A14" s="408"/>
      <c r="B14" s="408"/>
      <c r="C14" s="408"/>
      <c r="D14" s="408"/>
      <c r="E14" s="408"/>
      <c r="F14" s="408"/>
      <c r="G14" s="408"/>
      <c r="H14" s="408"/>
      <c r="I14" s="410"/>
      <c r="J14" s="410"/>
      <c r="K14" s="410"/>
      <c r="L14" s="410"/>
      <c r="M14" s="410"/>
      <c r="N14" s="410"/>
      <c r="O14" s="410"/>
      <c r="P14" s="410"/>
      <c r="Q14" s="410"/>
      <c r="R14" s="410"/>
      <c r="S14" s="410"/>
      <c r="T14" s="410"/>
      <c r="U14" s="410"/>
      <c r="V14" s="410"/>
      <c r="W14" s="410"/>
      <c r="X14" s="410"/>
      <c r="Y14" s="410"/>
      <c r="Z14" s="410"/>
      <c r="AA14" s="410"/>
      <c r="AB14" s="410"/>
      <c r="AC14" s="410"/>
      <c r="AD14" s="410"/>
      <c r="AE14" s="410"/>
      <c r="AF14" s="410"/>
      <c r="AG14" s="410"/>
      <c r="AH14" s="410"/>
    </row>
    <row r="15" spans="1:34">
      <c r="A15" s="408"/>
      <c r="B15" s="408"/>
      <c r="C15" s="408"/>
      <c r="D15" s="408"/>
      <c r="E15" s="408"/>
      <c r="F15" s="408"/>
      <c r="G15" s="408"/>
      <c r="H15" s="408"/>
      <c r="I15" s="410"/>
      <c r="J15" s="410"/>
      <c r="K15" s="410"/>
      <c r="L15" s="410"/>
      <c r="M15" s="410"/>
      <c r="N15" s="410"/>
      <c r="O15" s="410"/>
      <c r="P15" s="410"/>
      <c r="Q15" s="410"/>
      <c r="R15" s="410"/>
      <c r="S15" s="410"/>
      <c r="T15" s="410"/>
      <c r="U15" s="410"/>
      <c r="V15" s="410"/>
      <c r="W15" s="410"/>
      <c r="X15" s="410"/>
      <c r="Y15" s="410"/>
      <c r="Z15" s="410"/>
      <c r="AA15" s="410"/>
      <c r="AB15" s="410"/>
      <c r="AC15" s="410"/>
      <c r="AD15" s="410"/>
      <c r="AE15" s="410"/>
      <c r="AF15" s="410"/>
      <c r="AG15" s="410"/>
      <c r="AH15" s="410"/>
    </row>
    <row r="16" spans="1:34">
      <c r="A16" s="408"/>
      <c r="B16" s="408"/>
      <c r="C16" s="408"/>
      <c r="D16" s="408"/>
      <c r="E16" s="408"/>
      <c r="F16" s="408"/>
      <c r="G16" s="408"/>
      <c r="H16" s="408"/>
      <c r="I16" s="410"/>
      <c r="J16" s="410"/>
      <c r="K16" s="410"/>
      <c r="L16" s="410"/>
      <c r="M16" s="410"/>
      <c r="N16" s="410"/>
      <c r="O16" s="410"/>
      <c r="P16" s="410"/>
      <c r="Q16" s="410"/>
      <c r="R16" s="410"/>
      <c r="S16" s="410"/>
      <c r="T16" s="410"/>
      <c r="U16" s="410"/>
      <c r="V16" s="410"/>
      <c r="W16" s="410"/>
      <c r="X16" s="410"/>
      <c r="Y16" s="410"/>
      <c r="Z16" s="410"/>
      <c r="AA16" s="410"/>
      <c r="AB16" s="410"/>
      <c r="AC16" s="410"/>
      <c r="AD16" s="410"/>
      <c r="AE16" s="410"/>
      <c r="AF16" s="410"/>
      <c r="AG16" s="410"/>
      <c r="AH16" s="410"/>
    </row>
    <row r="17" spans="1:34">
      <c r="A17" s="408"/>
      <c r="B17" s="408"/>
      <c r="C17" s="408"/>
      <c r="D17" s="408"/>
      <c r="E17" s="408"/>
      <c r="F17" s="408"/>
      <c r="G17" s="408"/>
      <c r="H17" s="408"/>
      <c r="I17" s="410"/>
      <c r="J17" s="410"/>
      <c r="K17" s="410"/>
      <c r="L17" s="410"/>
      <c r="M17" s="410"/>
      <c r="N17" s="410"/>
      <c r="O17" s="410"/>
      <c r="P17" s="410"/>
      <c r="Q17" s="410"/>
      <c r="R17" s="410"/>
      <c r="S17" s="410"/>
      <c r="T17" s="410"/>
      <c r="U17" s="410"/>
      <c r="V17" s="410"/>
      <c r="W17" s="410"/>
      <c r="X17" s="410"/>
      <c r="Y17" s="410"/>
      <c r="Z17" s="410"/>
      <c r="AA17" s="410"/>
      <c r="AB17" s="410"/>
      <c r="AC17" s="410"/>
      <c r="AD17" s="410"/>
      <c r="AE17" s="410"/>
      <c r="AF17" s="410"/>
      <c r="AG17" s="410"/>
      <c r="AH17" s="410"/>
    </row>
    <row r="18" spans="1:34">
      <c r="A18" s="408"/>
      <c r="B18" s="408"/>
      <c r="C18" s="408"/>
      <c r="D18" s="408"/>
      <c r="E18" s="408"/>
      <c r="F18" s="408"/>
      <c r="G18" s="408"/>
      <c r="H18" s="408"/>
      <c r="I18" s="410"/>
      <c r="J18" s="410"/>
      <c r="K18" s="410"/>
      <c r="L18" s="410"/>
      <c r="M18" s="410"/>
      <c r="N18" s="410"/>
      <c r="O18" s="410"/>
      <c r="P18" s="410"/>
      <c r="Q18" s="410"/>
      <c r="R18" s="410"/>
      <c r="S18" s="410"/>
      <c r="T18" s="410"/>
      <c r="U18" s="410"/>
      <c r="V18" s="410"/>
      <c r="W18" s="410"/>
      <c r="X18" s="410"/>
      <c r="Y18" s="410"/>
      <c r="Z18" s="410"/>
      <c r="AA18" s="410"/>
      <c r="AB18" s="410"/>
      <c r="AC18" s="410"/>
      <c r="AD18" s="410"/>
      <c r="AE18" s="410"/>
      <c r="AF18" s="410"/>
      <c r="AG18" s="410"/>
      <c r="AH18" s="410"/>
    </row>
    <row r="19" spans="1:34">
      <c r="A19" s="408"/>
      <c r="B19" s="408"/>
      <c r="C19" s="408"/>
      <c r="D19" s="408"/>
      <c r="E19" s="408"/>
      <c r="F19" s="408"/>
      <c r="G19" s="408"/>
      <c r="H19" s="408"/>
      <c r="I19" s="410"/>
      <c r="J19" s="410"/>
      <c r="K19" s="410"/>
      <c r="L19" s="410"/>
      <c r="M19" s="410"/>
      <c r="N19" s="410"/>
      <c r="O19" s="410"/>
      <c r="P19" s="410"/>
      <c r="Q19" s="410"/>
      <c r="R19" s="410"/>
      <c r="S19" s="410"/>
      <c r="T19" s="410"/>
      <c r="U19" s="410"/>
      <c r="V19" s="410"/>
      <c r="W19" s="410"/>
      <c r="X19" s="410"/>
      <c r="Y19" s="410"/>
      <c r="Z19" s="410"/>
      <c r="AA19" s="410"/>
      <c r="AB19" s="410"/>
      <c r="AC19" s="410"/>
      <c r="AD19" s="410"/>
      <c r="AE19" s="410"/>
      <c r="AF19" s="410"/>
      <c r="AG19" s="410"/>
      <c r="AH19" s="410"/>
    </row>
    <row r="20" spans="1:34">
      <c r="A20" s="408"/>
      <c r="B20" s="408"/>
      <c r="C20" s="408"/>
      <c r="D20" s="408"/>
      <c r="E20" s="408"/>
      <c r="F20" s="408"/>
      <c r="G20" s="408"/>
      <c r="H20" s="408"/>
      <c r="I20" s="410"/>
      <c r="J20" s="410"/>
      <c r="K20" s="410"/>
      <c r="L20" s="410"/>
      <c r="M20" s="410"/>
      <c r="N20" s="410"/>
      <c r="O20" s="410"/>
      <c r="P20" s="410"/>
      <c r="Q20" s="410"/>
      <c r="R20" s="410"/>
      <c r="S20" s="410"/>
      <c r="T20" s="410"/>
      <c r="U20" s="410"/>
      <c r="V20" s="410"/>
      <c r="W20" s="410"/>
      <c r="X20" s="410"/>
      <c r="Y20" s="410"/>
      <c r="Z20" s="410"/>
      <c r="AA20" s="410"/>
      <c r="AB20" s="410"/>
      <c r="AC20" s="410"/>
      <c r="AD20" s="410"/>
      <c r="AE20" s="410"/>
      <c r="AF20" s="410"/>
      <c r="AG20" s="410"/>
      <c r="AH20" s="410"/>
    </row>
    <row r="21" spans="1:34">
      <c r="A21" s="408"/>
      <c r="B21" s="408"/>
      <c r="C21" s="408"/>
      <c r="D21" s="408"/>
      <c r="E21" s="408"/>
      <c r="F21" s="408"/>
      <c r="G21" s="408"/>
      <c r="H21" s="408"/>
      <c r="I21" s="410"/>
      <c r="J21" s="410"/>
      <c r="K21" s="410"/>
      <c r="L21" s="410"/>
      <c r="M21" s="410"/>
      <c r="N21" s="410"/>
      <c r="O21" s="410"/>
      <c r="P21" s="410"/>
      <c r="Q21" s="410"/>
      <c r="R21" s="410"/>
      <c r="S21" s="410"/>
      <c r="T21" s="410"/>
      <c r="U21" s="410"/>
      <c r="V21" s="410"/>
      <c r="W21" s="410"/>
      <c r="X21" s="410"/>
      <c r="Y21" s="410"/>
      <c r="Z21" s="410"/>
      <c r="AA21" s="410"/>
      <c r="AB21" s="410"/>
      <c r="AC21" s="410"/>
      <c r="AD21" s="410"/>
      <c r="AE21" s="410"/>
      <c r="AF21" s="410"/>
      <c r="AG21" s="410"/>
      <c r="AH21" s="410"/>
    </row>
    <row r="22" spans="1:34">
      <c r="A22" s="408"/>
      <c r="B22" s="408"/>
      <c r="C22" s="408"/>
      <c r="D22" s="408"/>
      <c r="E22" s="408"/>
      <c r="F22" s="408"/>
      <c r="G22" s="408"/>
      <c r="H22" s="408"/>
      <c r="I22" s="410"/>
      <c r="J22" s="410"/>
      <c r="K22" s="410"/>
      <c r="L22" s="410"/>
      <c r="M22" s="410"/>
      <c r="N22" s="410"/>
      <c r="O22" s="410"/>
      <c r="P22" s="410"/>
      <c r="Q22" s="410"/>
      <c r="R22" s="410"/>
      <c r="S22" s="410"/>
      <c r="T22" s="410"/>
      <c r="U22" s="410"/>
      <c r="V22" s="410"/>
      <c r="W22" s="410"/>
      <c r="X22" s="410"/>
      <c r="Y22" s="410"/>
      <c r="Z22" s="410"/>
      <c r="AA22" s="410"/>
      <c r="AB22" s="410"/>
      <c r="AC22" s="410"/>
      <c r="AD22" s="410"/>
      <c r="AE22" s="410"/>
      <c r="AF22" s="410"/>
      <c r="AG22" s="410"/>
      <c r="AH22" s="410"/>
    </row>
    <row r="23" spans="1:34">
      <c r="A23" s="408"/>
      <c r="B23" s="408"/>
      <c r="C23" s="408"/>
      <c r="D23" s="408"/>
      <c r="E23" s="408"/>
      <c r="F23" s="408"/>
      <c r="G23" s="408"/>
      <c r="H23" s="408"/>
      <c r="I23" s="410"/>
      <c r="J23" s="410"/>
      <c r="K23" s="410"/>
      <c r="L23" s="410"/>
      <c r="M23" s="410"/>
      <c r="N23" s="410"/>
      <c r="O23" s="410"/>
      <c r="P23" s="410"/>
      <c r="Q23" s="410"/>
      <c r="R23" s="410"/>
      <c r="S23" s="410"/>
      <c r="T23" s="410"/>
      <c r="U23" s="410"/>
      <c r="V23" s="410"/>
      <c r="W23" s="410"/>
      <c r="X23" s="410"/>
      <c r="Y23" s="410"/>
      <c r="Z23" s="410"/>
      <c r="AA23" s="410"/>
      <c r="AB23" s="410"/>
      <c r="AC23" s="410"/>
      <c r="AD23" s="410"/>
      <c r="AE23" s="410"/>
      <c r="AF23" s="410"/>
      <c r="AG23" s="410"/>
      <c r="AH23" s="410"/>
    </row>
    <row r="24" spans="1:34">
      <c r="A24" s="408"/>
      <c r="B24" s="408"/>
      <c r="C24" s="408"/>
      <c r="D24" s="408"/>
      <c r="E24" s="408"/>
      <c r="F24" s="408"/>
      <c r="G24" s="408"/>
      <c r="H24" s="408"/>
      <c r="I24" s="410"/>
      <c r="J24" s="410"/>
      <c r="K24" s="410"/>
      <c r="L24" s="410"/>
      <c r="M24" s="410"/>
      <c r="N24" s="410"/>
      <c r="O24" s="410"/>
      <c r="P24" s="410"/>
      <c r="Q24" s="410"/>
      <c r="R24" s="410"/>
      <c r="S24" s="410"/>
      <c r="T24" s="410"/>
      <c r="U24" s="410"/>
      <c r="V24" s="410"/>
      <c r="W24" s="410"/>
      <c r="X24" s="410"/>
      <c r="Y24" s="410"/>
      <c r="Z24" s="410"/>
      <c r="AA24" s="410"/>
      <c r="AB24" s="410"/>
      <c r="AC24" s="410"/>
      <c r="AD24" s="410"/>
      <c r="AE24" s="410"/>
      <c r="AF24" s="410"/>
      <c r="AG24" s="410"/>
      <c r="AH24" s="410"/>
    </row>
    <row r="25" spans="1:34">
      <c r="A25" s="408"/>
      <c r="B25" s="408"/>
      <c r="C25" s="408"/>
      <c r="D25" s="408"/>
      <c r="E25" s="408"/>
      <c r="F25" s="408"/>
      <c r="G25" s="408"/>
      <c r="H25" s="408"/>
      <c r="I25" s="410"/>
      <c r="J25" s="410"/>
      <c r="K25" s="410"/>
      <c r="L25" s="410"/>
      <c r="M25" s="410"/>
      <c r="N25" s="410"/>
      <c r="O25" s="410"/>
      <c r="P25" s="410"/>
      <c r="Q25" s="410"/>
      <c r="R25" s="410"/>
      <c r="S25" s="410"/>
      <c r="T25" s="410"/>
      <c r="U25" s="410"/>
      <c r="V25" s="410"/>
      <c r="W25" s="410"/>
      <c r="X25" s="410"/>
      <c r="Y25" s="410"/>
      <c r="Z25" s="410"/>
      <c r="AA25" s="410"/>
      <c r="AB25" s="410"/>
      <c r="AC25" s="410"/>
      <c r="AD25" s="410"/>
      <c r="AE25" s="410"/>
      <c r="AF25" s="410"/>
      <c r="AG25" s="410"/>
      <c r="AH25" s="410"/>
    </row>
    <row r="26" spans="1:34">
      <c r="A26" s="408"/>
      <c r="B26" s="408"/>
      <c r="C26" s="408"/>
      <c r="D26" s="408"/>
      <c r="E26" s="408"/>
      <c r="F26" s="408"/>
      <c r="G26" s="408"/>
      <c r="H26" s="408"/>
      <c r="I26" s="410"/>
      <c r="J26" s="410"/>
      <c r="K26" s="410"/>
      <c r="L26" s="410"/>
      <c r="M26" s="410"/>
      <c r="N26" s="410"/>
      <c r="O26" s="410"/>
      <c r="P26" s="410"/>
      <c r="Q26" s="410"/>
      <c r="R26" s="410"/>
      <c r="S26" s="410"/>
      <c r="T26" s="410"/>
      <c r="U26" s="410"/>
      <c r="V26" s="410"/>
      <c r="W26" s="410"/>
      <c r="X26" s="410"/>
      <c r="Y26" s="410"/>
      <c r="Z26" s="410"/>
      <c r="AA26" s="410"/>
      <c r="AB26" s="410"/>
      <c r="AC26" s="410"/>
      <c r="AD26" s="410"/>
      <c r="AE26" s="410"/>
      <c r="AF26" s="410"/>
      <c r="AG26" s="410"/>
      <c r="AH26" s="410"/>
    </row>
    <row r="27" spans="1:34">
      <c r="A27" s="408"/>
      <c r="B27" s="408"/>
      <c r="C27" s="408"/>
      <c r="D27" s="408"/>
      <c r="E27" s="408"/>
      <c r="F27" s="408"/>
      <c r="G27" s="408"/>
      <c r="H27" s="408"/>
      <c r="I27" s="410"/>
      <c r="J27" s="410"/>
      <c r="K27" s="410"/>
      <c r="L27" s="410"/>
      <c r="M27" s="410"/>
      <c r="N27" s="410"/>
      <c r="O27" s="410"/>
      <c r="P27" s="410"/>
      <c r="Q27" s="410"/>
      <c r="R27" s="410"/>
      <c r="S27" s="410"/>
      <c r="T27" s="410"/>
      <c r="U27" s="410"/>
      <c r="V27" s="410"/>
      <c r="W27" s="410"/>
      <c r="X27" s="410"/>
      <c r="Y27" s="410"/>
      <c r="Z27" s="410"/>
      <c r="AA27" s="410"/>
      <c r="AB27" s="410"/>
      <c r="AC27" s="410"/>
      <c r="AD27" s="410"/>
      <c r="AE27" s="410"/>
      <c r="AF27" s="410"/>
      <c r="AG27" s="410"/>
      <c r="AH27" s="410"/>
    </row>
    <row r="28" spans="1:34">
      <c r="A28" s="408"/>
      <c r="B28" s="408"/>
      <c r="C28" s="408"/>
      <c r="D28" s="408"/>
      <c r="E28" s="408"/>
      <c r="F28" s="408"/>
      <c r="G28" s="408"/>
      <c r="H28" s="408"/>
      <c r="I28" s="410"/>
      <c r="J28" s="410"/>
      <c r="K28" s="410"/>
      <c r="L28" s="410"/>
      <c r="M28" s="410"/>
      <c r="N28" s="410"/>
      <c r="O28" s="410"/>
      <c r="P28" s="410"/>
      <c r="Q28" s="410"/>
      <c r="R28" s="410"/>
      <c r="S28" s="410"/>
      <c r="T28" s="410"/>
      <c r="U28" s="410"/>
      <c r="V28" s="410"/>
      <c r="W28" s="410"/>
      <c r="X28" s="410"/>
      <c r="Y28" s="410"/>
      <c r="Z28" s="410"/>
      <c r="AA28" s="410"/>
      <c r="AB28" s="410"/>
      <c r="AC28" s="410"/>
      <c r="AD28" s="410"/>
      <c r="AE28" s="410"/>
      <c r="AF28" s="410"/>
      <c r="AG28" s="410"/>
      <c r="AH28" s="410"/>
    </row>
    <row r="29" spans="1:34">
      <c r="A29" s="408"/>
      <c r="B29" s="408"/>
      <c r="C29" s="408"/>
      <c r="D29" s="408"/>
      <c r="E29" s="408"/>
      <c r="F29" s="408"/>
      <c r="G29" s="408"/>
      <c r="H29" s="408"/>
      <c r="I29" s="410"/>
      <c r="J29" s="410"/>
      <c r="K29" s="410"/>
      <c r="L29" s="410"/>
      <c r="M29" s="410"/>
      <c r="N29" s="410"/>
      <c r="O29" s="410"/>
      <c r="P29" s="410"/>
      <c r="Q29" s="410"/>
      <c r="R29" s="410"/>
      <c r="S29" s="410"/>
      <c r="T29" s="410"/>
      <c r="U29" s="410"/>
      <c r="V29" s="410"/>
      <c r="W29" s="410"/>
      <c r="X29" s="410"/>
      <c r="Y29" s="410"/>
      <c r="Z29" s="410"/>
      <c r="AA29" s="410"/>
      <c r="AB29" s="410"/>
      <c r="AC29" s="410"/>
      <c r="AD29" s="410"/>
      <c r="AE29" s="410"/>
      <c r="AF29" s="410"/>
      <c r="AG29" s="410"/>
      <c r="AH29" s="410"/>
    </row>
    <row r="30" spans="1:34">
      <c r="A30" s="408"/>
      <c r="B30" s="408"/>
      <c r="C30" s="408"/>
      <c r="D30" s="408"/>
      <c r="E30" s="408"/>
      <c r="F30" s="408"/>
      <c r="G30" s="408"/>
      <c r="H30" s="408"/>
      <c r="I30" s="410"/>
      <c r="J30" s="410"/>
      <c r="K30" s="410"/>
      <c r="L30" s="410"/>
      <c r="M30" s="410"/>
      <c r="N30" s="410"/>
      <c r="O30" s="410"/>
      <c r="P30" s="410"/>
      <c r="Q30" s="410"/>
      <c r="R30" s="410"/>
      <c r="S30" s="410"/>
      <c r="T30" s="410"/>
      <c r="U30" s="410"/>
      <c r="V30" s="410"/>
      <c r="W30" s="410"/>
      <c r="X30" s="410"/>
      <c r="Y30" s="410"/>
      <c r="Z30" s="410"/>
      <c r="AA30" s="410"/>
      <c r="AB30" s="410"/>
      <c r="AC30" s="410"/>
      <c r="AD30" s="410"/>
      <c r="AE30" s="410"/>
      <c r="AF30" s="410"/>
      <c r="AG30" s="410"/>
      <c r="AH30" s="410"/>
    </row>
    <row r="31" spans="1:34">
      <c r="A31" s="408"/>
      <c r="B31" s="408"/>
      <c r="C31" s="408"/>
      <c r="D31" s="408"/>
      <c r="E31" s="408"/>
      <c r="F31" s="408"/>
      <c r="G31" s="408"/>
      <c r="H31" s="408"/>
      <c r="I31" s="410"/>
      <c r="J31" s="410"/>
      <c r="K31" s="410"/>
      <c r="L31" s="410"/>
      <c r="M31" s="410"/>
      <c r="N31" s="410"/>
      <c r="O31" s="410"/>
      <c r="P31" s="410"/>
      <c r="Q31" s="410"/>
      <c r="R31" s="410"/>
      <c r="S31" s="410"/>
      <c r="T31" s="410"/>
      <c r="U31" s="410"/>
      <c r="V31" s="410"/>
      <c r="W31" s="410"/>
      <c r="X31" s="410"/>
      <c r="Y31" s="410"/>
      <c r="Z31" s="410"/>
      <c r="AA31" s="410"/>
      <c r="AB31" s="410"/>
      <c r="AC31" s="410"/>
      <c r="AD31" s="410"/>
      <c r="AE31" s="410"/>
      <c r="AF31" s="410"/>
      <c r="AG31" s="410"/>
      <c r="AH31" s="410"/>
    </row>
    <row r="32" spans="1:34">
      <c r="A32" s="408"/>
      <c r="B32" s="408"/>
      <c r="C32" s="408"/>
      <c r="D32" s="408"/>
      <c r="E32" s="408"/>
      <c r="F32" s="408"/>
      <c r="G32" s="408"/>
      <c r="H32" s="408"/>
      <c r="I32" s="410"/>
      <c r="J32" s="410"/>
      <c r="K32" s="410"/>
      <c r="L32" s="410"/>
      <c r="M32" s="410"/>
      <c r="N32" s="410"/>
      <c r="O32" s="410"/>
      <c r="P32" s="410"/>
      <c r="Q32" s="410"/>
      <c r="R32" s="410"/>
      <c r="S32" s="410"/>
      <c r="T32" s="410"/>
      <c r="U32" s="410"/>
      <c r="V32" s="410"/>
      <c r="W32" s="410"/>
      <c r="X32" s="410"/>
      <c r="Y32" s="410"/>
      <c r="Z32" s="410"/>
      <c r="AA32" s="410"/>
      <c r="AB32" s="410"/>
      <c r="AC32" s="410"/>
      <c r="AD32" s="410"/>
      <c r="AE32" s="410"/>
      <c r="AF32" s="410"/>
      <c r="AG32" s="410"/>
      <c r="AH32" s="410"/>
    </row>
    <row r="33" spans="1:34">
      <c r="A33" s="409"/>
      <c r="B33" s="409"/>
      <c r="C33" s="409"/>
      <c r="D33" s="409"/>
      <c r="E33" s="409"/>
      <c r="F33" s="409"/>
      <c r="G33" s="409"/>
      <c r="H33" s="409"/>
      <c r="I33" s="410"/>
      <c r="J33" s="410"/>
      <c r="K33" s="410"/>
      <c r="L33" s="410"/>
      <c r="M33" s="410"/>
      <c r="N33" s="410"/>
      <c r="O33" s="410"/>
      <c r="P33" s="410"/>
      <c r="Q33" s="410"/>
      <c r="R33" s="410"/>
      <c r="S33" s="410"/>
      <c r="T33" s="410"/>
      <c r="U33" s="410"/>
      <c r="V33" s="410"/>
      <c r="W33" s="410"/>
      <c r="X33" s="410"/>
      <c r="Y33" s="410"/>
      <c r="Z33" s="410"/>
      <c r="AA33" s="410"/>
      <c r="AB33" s="410"/>
      <c r="AC33" s="410"/>
      <c r="AD33" s="410"/>
      <c r="AE33" s="410"/>
      <c r="AF33" s="410"/>
      <c r="AG33" s="410"/>
      <c r="AH33" s="410"/>
    </row>
    <row r="34" spans="1:34">
      <c r="A34" s="409"/>
      <c r="B34" s="409"/>
      <c r="C34" s="409"/>
      <c r="D34" s="409"/>
      <c r="E34" s="409"/>
      <c r="F34" s="409"/>
      <c r="G34" s="409"/>
      <c r="H34" s="409"/>
      <c r="I34" s="410"/>
      <c r="J34" s="410"/>
      <c r="K34" s="410"/>
      <c r="L34" s="410"/>
      <c r="M34" s="410"/>
      <c r="N34" s="410"/>
      <c r="O34" s="410"/>
      <c r="P34" s="410"/>
      <c r="Q34" s="410"/>
      <c r="R34" s="410"/>
      <c r="S34" s="410"/>
      <c r="T34" s="410"/>
      <c r="U34" s="410"/>
      <c r="V34" s="410"/>
      <c r="W34" s="410"/>
      <c r="X34" s="410"/>
      <c r="Y34" s="410"/>
      <c r="Z34" s="410"/>
      <c r="AA34" s="410"/>
      <c r="AB34" s="410"/>
      <c r="AC34" s="410"/>
      <c r="AD34" s="410"/>
      <c r="AE34" s="410"/>
      <c r="AF34" s="410"/>
      <c r="AG34" s="410"/>
      <c r="AH34" s="410"/>
    </row>
    <row r="35" spans="1:34">
      <c r="A35" s="409"/>
      <c r="B35" s="409"/>
      <c r="C35" s="409"/>
      <c r="D35" s="409"/>
      <c r="E35" s="409"/>
      <c r="F35" s="409"/>
      <c r="G35" s="409"/>
      <c r="H35" s="409"/>
      <c r="I35" s="410"/>
      <c r="J35" s="410"/>
      <c r="K35" s="410"/>
      <c r="L35" s="410"/>
      <c r="M35" s="410"/>
      <c r="N35" s="410"/>
      <c r="O35" s="410"/>
      <c r="P35" s="410"/>
      <c r="Q35" s="410"/>
      <c r="R35" s="410"/>
      <c r="S35" s="410"/>
      <c r="T35" s="410"/>
      <c r="U35" s="410"/>
      <c r="V35" s="410"/>
      <c r="W35" s="410"/>
      <c r="X35" s="410"/>
      <c r="Y35" s="410"/>
      <c r="Z35" s="410"/>
      <c r="AA35" s="410"/>
      <c r="AB35" s="410"/>
      <c r="AC35" s="410"/>
      <c r="AD35" s="410"/>
      <c r="AE35" s="410"/>
      <c r="AF35" s="410"/>
      <c r="AG35" s="410"/>
      <c r="AH35" s="410"/>
    </row>
    <row r="36" spans="1:34">
      <c r="A36" s="409"/>
      <c r="B36" s="409"/>
      <c r="C36" s="409"/>
      <c r="D36" s="409"/>
      <c r="E36" s="409"/>
      <c r="F36" s="409"/>
      <c r="G36" s="409"/>
      <c r="H36" s="409"/>
      <c r="I36" s="410"/>
      <c r="J36" s="410"/>
      <c r="K36" s="410"/>
      <c r="L36" s="410"/>
      <c r="M36" s="410"/>
      <c r="N36" s="410"/>
      <c r="O36" s="410"/>
      <c r="P36" s="410"/>
      <c r="Q36" s="410"/>
      <c r="R36" s="410"/>
      <c r="S36" s="410"/>
      <c r="T36" s="410"/>
      <c r="U36" s="410"/>
      <c r="V36" s="410"/>
      <c r="W36" s="410"/>
      <c r="X36" s="410"/>
      <c r="Y36" s="410"/>
      <c r="Z36" s="410"/>
      <c r="AA36" s="410"/>
      <c r="AB36" s="410"/>
      <c r="AC36" s="410"/>
      <c r="AD36" s="410"/>
      <c r="AE36" s="410"/>
      <c r="AF36" s="410"/>
      <c r="AG36" s="410"/>
      <c r="AH36" s="410"/>
    </row>
    <row r="37" spans="1:34">
      <c r="A37" s="409"/>
      <c r="B37" s="409"/>
      <c r="C37" s="409"/>
      <c r="D37" s="409"/>
      <c r="E37" s="409"/>
      <c r="F37" s="409"/>
      <c r="G37" s="409"/>
      <c r="H37" s="409"/>
      <c r="I37" s="410"/>
      <c r="J37" s="410"/>
      <c r="K37" s="410"/>
      <c r="L37" s="410"/>
      <c r="M37" s="410"/>
      <c r="N37" s="410"/>
      <c r="O37" s="410"/>
      <c r="P37" s="410"/>
      <c r="Q37" s="410"/>
      <c r="R37" s="410"/>
      <c r="S37" s="410"/>
      <c r="T37" s="410"/>
      <c r="U37" s="410"/>
      <c r="V37" s="410"/>
      <c r="W37" s="410"/>
      <c r="X37" s="410"/>
      <c r="Y37" s="410"/>
      <c r="Z37" s="410"/>
      <c r="AA37" s="410"/>
      <c r="AB37" s="410"/>
      <c r="AC37" s="410"/>
      <c r="AD37" s="410"/>
      <c r="AE37" s="410"/>
      <c r="AF37" s="410"/>
      <c r="AG37" s="410"/>
      <c r="AH37" s="410"/>
    </row>
    <row r="38" spans="1:34">
      <c r="A38" s="409"/>
      <c r="B38" s="409"/>
      <c r="C38" s="409"/>
      <c r="D38" s="409"/>
      <c r="E38" s="409"/>
      <c r="F38" s="409"/>
      <c r="G38" s="409"/>
      <c r="H38" s="409"/>
      <c r="I38" s="410"/>
      <c r="J38" s="410"/>
      <c r="K38" s="410"/>
      <c r="L38" s="410"/>
      <c r="M38" s="410"/>
      <c r="N38" s="410"/>
      <c r="O38" s="410"/>
      <c r="P38" s="410"/>
      <c r="Q38" s="410"/>
      <c r="R38" s="410"/>
      <c r="S38" s="410"/>
      <c r="T38" s="410"/>
      <c r="U38" s="410"/>
      <c r="V38" s="410"/>
      <c r="W38" s="410"/>
      <c r="X38" s="410"/>
      <c r="Y38" s="410"/>
      <c r="Z38" s="410"/>
      <c r="AA38" s="410"/>
      <c r="AB38" s="410"/>
      <c r="AC38" s="410"/>
      <c r="AD38" s="410"/>
      <c r="AE38" s="410"/>
      <c r="AF38" s="410"/>
      <c r="AG38" s="410"/>
      <c r="AH38" s="410"/>
    </row>
    <row r="39" spans="1:34">
      <c r="A39" s="409"/>
      <c r="B39" s="409"/>
      <c r="C39" s="409"/>
      <c r="D39" s="409"/>
      <c r="E39" s="409"/>
      <c r="F39" s="409"/>
      <c r="G39" s="409"/>
      <c r="H39" s="409"/>
      <c r="I39" s="410"/>
      <c r="J39" s="410"/>
      <c r="K39" s="410"/>
      <c r="L39" s="410"/>
      <c r="M39" s="410"/>
      <c r="N39" s="410"/>
      <c r="O39" s="410"/>
      <c r="P39" s="410"/>
      <c r="Q39" s="410"/>
      <c r="R39" s="410"/>
      <c r="S39" s="410"/>
      <c r="T39" s="410"/>
      <c r="U39" s="410"/>
      <c r="V39" s="410"/>
      <c r="W39" s="410"/>
      <c r="X39" s="410"/>
      <c r="Y39" s="410"/>
      <c r="Z39" s="410"/>
      <c r="AA39" s="410"/>
      <c r="AB39" s="410"/>
      <c r="AC39" s="410"/>
      <c r="AD39" s="410"/>
      <c r="AE39" s="410"/>
      <c r="AF39" s="410"/>
      <c r="AG39" s="410"/>
      <c r="AH39" s="410"/>
    </row>
    <row r="40" spans="1:34">
      <c r="A40" s="409"/>
      <c r="B40" s="409"/>
      <c r="C40" s="409"/>
      <c r="D40" s="409"/>
      <c r="E40" s="409"/>
      <c r="F40" s="409"/>
      <c r="G40" s="409"/>
      <c r="H40" s="409"/>
      <c r="I40" s="410"/>
      <c r="J40" s="410"/>
      <c r="K40" s="410"/>
      <c r="L40" s="410"/>
      <c r="M40" s="410"/>
      <c r="N40" s="410"/>
      <c r="O40" s="410"/>
      <c r="P40" s="410"/>
      <c r="Q40" s="410"/>
      <c r="R40" s="410"/>
      <c r="S40" s="410"/>
      <c r="T40" s="410"/>
      <c r="U40" s="410"/>
      <c r="V40" s="410"/>
      <c r="W40" s="410"/>
      <c r="X40" s="410"/>
      <c r="Y40" s="410"/>
      <c r="Z40" s="410"/>
      <c r="AA40" s="410"/>
      <c r="AB40" s="410"/>
      <c r="AC40" s="410"/>
      <c r="AD40" s="410"/>
      <c r="AE40" s="410"/>
      <c r="AF40" s="410"/>
      <c r="AG40" s="410"/>
      <c r="AH40" s="410"/>
    </row>
    <row r="41" spans="1:34">
      <c r="A41" s="409"/>
      <c r="B41" s="409"/>
      <c r="C41" s="409"/>
      <c r="D41" s="409"/>
      <c r="E41" s="409"/>
      <c r="F41" s="409"/>
      <c r="G41" s="409"/>
      <c r="H41" s="409"/>
      <c r="I41" s="410"/>
      <c r="J41" s="410"/>
      <c r="K41" s="410"/>
      <c r="L41" s="410"/>
      <c r="M41" s="410"/>
      <c r="N41" s="410"/>
      <c r="O41" s="410"/>
      <c r="P41" s="410"/>
      <c r="Q41" s="410"/>
      <c r="R41" s="410"/>
      <c r="S41" s="410"/>
      <c r="T41" s="410"/>
      <c r="U41" s="410"/>
      <c r="V41" s="410"/>
      <c r="W41" s="410"/>
      <c r="X41" s="410"/>
      <c r="Y41" s="410"/>
      <c r="Z41" s="410"/>
      <c r="AA41" s="410"/>
      <c r="AB41" s="410"/>
      <c r="AC41" s="410"/>
      <c r="AD41" s="410"/>
      <c r="AE41" s="410"/>
      <c r="AF41" s="410"/>
      <c r="AG41" s="410"/>
      <c r="AH41" s="410"/>
    </row>
    <row r="42" spans="1:34">
      <c r="A42" s="409"/>
      <c r="B42" s="409"/>
      <c r="C42" s="409"/>
      <c r="D42" s="409"/>
      <c r="E42" s="409"/>
      <c r="F42" s="409"/>
      <c r="G42" s="409"/>
      <c r="H42" s="409"/>
      <c r="I42" s="410"/>
      <c r="J42" s="410"/>
      <c r="K42" s="410"/>
      <c r="L42" s="410"/>
      <c r="M42" s="410"/>
      <c r="N42" s="410"/>
      <c r="O42" s="410"/>
      <c r="P42" s="410"/>
      <c r="Q42" s="410"/>
      <c r="R42" s="410"/>
      <c r="S42" s="410"/>
      <c r="T42" s="410"/>
      <c r="U42" s="410"/>
      <c r="V42" s="410"/>
      <c r="W42" s="410"/>
      <c r="X42" s="410"/>
      <c r="Y42" s="410"/>
      <c r="Z42" s="410"/>
      <c r="AA42" s="410"/>
      <c r="AB42" s="410"/>
      <c r="AC42" s="410"/>
      <c r="AD42" s="410"/>
      <c r="AE42" s="410"/>
      <c r="AF42" s="410"/>
      <c r="AG42" s="410"/>
      <c r="AH42" s="410"/>
    </row>
    <row r="43" spans="1:34">
      <c r="A43" s="409"/>
      <c r="B43" s="409"/>
      <c r="C43" s="409"/>
      <c r="D43" s="409"/>
      <c r="E43" s="409"/>
      <c r="F43" s="409"/>
      <c r="G43" s="409"/>
      <c r="H43" s="409"/>
      <c r="I43" s="410"/>
      <c r="J43" s="410"/>
      <c r="K43" s="410"/>
      <c r="L43" s="410"/>
      <c r="M43" s="410"/>
      <c r="N43" s="410"/>
      <c r="O43" s="410"/>
      <c r="P43" s="410"/>
      <c r="Q43" s="410"/>
      <c r="R43" s="410"/>
      <c r="S43" s="410"/>
      <c r="T43" s="410"/>
      <c r="U43" s="410"/>
      <c r="V43" s="410"/>
      <c r="W43" s="410"/>
      <c r="X43" s="410"/>
      <c r="Y43" s="410"/>
      <c r="Z43" s="410"/>
      <c r="AA43" s="410"/>
      <c r="AB43" s="410"/>
      <c r="AC43" s="410"/>
      <c r="AD43" s="410"/>
      <c r="AE43" s="410"/>
      <c r="AF43" s="410"/>
      <c r="AG43" s="410"/>
      <c r="AH43" s="410"/>
    </row>
    <row r="44" spans="1:34">
      <c r="A44" s="409"/>
      <c r="B44" s="409"/>
      <c r="C44" s="409"/>
      <c r="D44" s="409"/>
      <c r="E44" s="409"/>
      <c r="F44" s="409"/>
      <c r="G44" s="409"/>
      <c r="H44" s="409"/>
      <c r="I44" s="410"/>
      <c r="J44" s="410"/>
      <c r="K44" s="410"/>
      <c r="L44" s="410"/>
      <c r="M44" s="410"/>
      <c r="N44" s="410"/>
      <c r="O44" s="410"/>
      <c r="P44" s="410"/>
      <c r="Q44" s="410"/>
      <c r="R44" s="410"/>
      <c r="S44" s="410"/>
      <c r="T44" s="410"/>
      <c r="U44" s="410"/>
      <c r="V44" s="410"/>
      <c r="W44" s="410"/>
      <c r="X44" s="410"/>
      <c r="Y44" s="410"/>
      <c r="Z44" s="410"/>
      <c r="AA44" s="410"/>
      <c r="AB44" s="410"/>
      <c r="AC44" s="410"/>
      <c r="AD44" s="410"/>
      <c r="AE44" s="410"/>
      <c r="AF44" s="410"/>
      <c r="AG44" s="410"/>
      <c r="AH44" s="410"/>
    </row>
    <row r="45" spans="1:34">
      <c r="A45" s="409"/>
      <c r="B45" s="409"/>
      <c r="C45" s="409"/>
      <c r="D45" s="409"/>
      <c r="E45" s="409"/>
      <c r="F45" s="409"/>
      <c r="G45" s="409"/>
      <c r="H45" s="409"/>
      <c r="I45" s="410"/>
      <c r="J45" s="410"/>
      <c r="K45" s="410"/>
      <c r="L45" s="410"/>
      <c r="M45" s="410"/>
      <c r="N45" s="410"/>
      <c r="O45" s="410"/>
      <c r="P45" s="410"/>
      <c r="Q45" s="410"/>
      <c r="R45" s="410"/>
      <c r="S45" s="410"/>
      <c r="T45" s="410"/>
      <c r="U45" s="410"/>
      <c r="V45" s="410"/>
      <c r="W45" s="410"/>
      <c r="X45" s="410"/>
      <c r="Y45" s="410"/>
      <c r="Z45" s="410"/>
      <c r="AA45" s="410"/>
      <c r="AB45" s="410"/>
      <c r="AC45" s="410"/>
      <c r="AD45" s="410"/>
      <c r="AE45" s="410"/>
      <c r="AF45" s="410"/>
      <c r="AG45" s="410"/>
      <c r="AH45" s="410"/>
    </row>
    <row r="46" spans="1:34">
      <c r="A46" s="409"/>
      <c r="B46" s="409"/>
      <c r="C46" s="409"/>
      <c r="D46" s="409"/>
      <c r="E46" s="409"/>
      <c r="F46" s="409"/>
      <c r="G46" s="409"/>
      <c r="H46" s="409"/>
      <c r="I46" s="410"/>
      <c r="J46" s="410"/>
      <c r="K46" s="410"/>
      <c r="L46" s="410"/>
      <c r="M46" s="410"/>
      <c r="N46" s="410"/>
      <c r="O46" s="410"/>
      <c r="P46" s="410"/>
      <c r="Q46" s="410"/>
      <c r="R46" s="410"/>
      <c r="S46" s="410"/>
      <c r="T46" s="410"/>
      <c r="U46" s="410"/>
      <c r="V46" s="410"/>
      <c r="W46" s="410"/>
      <c r="X46" s="410"/>
      <c r="Y46" s="410"/>
      <c r="Z46" s="410"/>
      <c r="AA46" s="410"/>
      <c r="AB46" s="410"/>
      <c r="AC46" s="410"/>
      <c r="AD46" s="410"/>
      <c r="AE46" s="410"/>
      <c r="AF46" s="410"/>
      <c r="AG46" s="410"/>
      <c r="AH46" s="410"/>
    </row>
    <row r="47" spans="1:34">
      <c r="A47" s="409"/>
      <c r="B47" s="409"/>
      <c r="C47" s="409"/>
      <c r="D47" s="409"/>
      <c r="E47" s="409"/>
      <c r="F47" s="409"/>
      <c r="G47" s="409"/>
      <c r="H47" s="409"/>
      <c r="I47" s="410"/>
      <c r="J47" s="410"/>
      <c r="K47" s="410"/>
      <c r="L47" s="410"/>
      <c r="M47" s="410"/>
      <c r="N47" s="410"/>
      <c r="O47" s="410"/>
      <c r="P47" s="410"/>
      <c r="Q47" s="410"/>
      <c r="R47" s="410"/>
      <c r="S47" s="410"/>
      <c r="T47" s="410"/>
      <c r="U47" s="410"/>
      <c r="V47" s="410"/>
      <c r="W47" s="410"/>
      <c r="X47" s="410"/>
      <c r="Y47" s="410"/>
      <c r="Z47" s="410"/>
      <c r="AA47" s="410"/>
      <c r="AB47" s="410"/>
      <c r="AC47" s="410"/>
      <c r="AD47" s="410"/>
      <c r="AE47" s="410"/>
      <c r="AF47" s="410"/>
      <c r="AG47" s="410"/>
      <c r="AH47" s="410"/>
    </row>
    <row r="48" spans="1:34">
      <c r="A48" s="409"/>
      <c r="B48" s="409"/>
      <c r="C48" s="409"/>
      <c r="D48" s="409"/>
      <c r="E48" s="409"/>
      <c r="F48" s="409"/>
      <c r="G48" s="409"/>
      <c r="H48" s="409"/>
      <c r="I48" s="410"/>
      <c r="J48" s="410"/>
      <c r="K48" s="410"/>
      <c r="L48" s="410"/>
      <c r="M48" s="410"/>
      <c r="N48" s="410"/>
      <c r="O48" s="410"/>
      <c r="P48" s="410"/>
      <c r="Q48" s="410"/>
      <c r="R48" s="410"/>
      <c r="S48" s="410"/>
      <c r="T48" s="410"/>
      <c r="U48" s="410"/>
      <c r="V48" s="410"/>
      <c r="W48" s="410"/>
      <c r="X48" s="410"/>
      <c r="Y48" s="410"/>
      <c r="Z48" s="410"/>
      <c r="AA48" s="410"/>
      <c r="AB48" s="410"/>
      <c r="AC48" s="410"/>
      <c r="AD48" s="410"/>
      <c r="AE48" s="410"/>
      <c r="AF48" s="410"/>
      <c r="AG48" s="410"/>
      <c r="AH48" s="410"/>
    </row>
    <row r="49" spans="1:34">
      <c r="A49" s="408"/>
      <c r="B49" s="408"/>
      <c r="C49" s="408"/>
      <c r="D49" s="408"/>
      <c r="E49" s="408"/>
      <c r="F49" s="408"/>
      <c r="G49" s="408"/>
      <c r="H49" s="408"/>
      <c r="I49" s="410"/>
      <c r="J49" s="410"/>
      <c r="K49" s="410"/>
      <c r="L49" s="410"/>
      <c r="M49" s="410"/>
      <c r="N49" s="410"/>
      <c r="O49" s="410"/>
      <c r="P49" s="410"/>
      <c r="Q49" s="410"/>
      <c r="R49" s="410"/>
      <c r="S49" s="410"/>
      <c r="T49" s="410"/>
      <c r="U49" s="410"/>
      <c r="V49" s="410"/>
      <c r="W49" s="410"/>
      <c r="X49" s="410"/>
      <c r="Y49" s="410"/>
      <c r="Z49" s="410"/>
      <c r="AA49" s="410"/>
      <c r="AB49" s="410"/>
      <c r="AC49" s="410"/>
      <c r="AD49" s="410"/>
      <c r="AE49" s="410"/>
      <c r="AF49" s="410"/>
      <c r="AG49" s="410"/>
      <c r="AH49" s="410"/>
    </row>
    <row r="50" spans="1:34">
      <c r="A50" s="408"/>
      <c r="B50" s="408"/>
      <c r="C50" s="408"/>
      <c r="D50" s="408"/>
      <c r="E50" s="408"/>
      <c r="F50" s="408"/>
      <c r="G50" s="408"/>
      <c r="H50" s="408"/>
      <c r="I50" s="410"/>
      <c r="J50" s="410"/>
      <c r="K50" s="410"/>
      <c r="L50" s="410"/>
      <c r="M50" s="410"/>
      <c r="N50" s="410"/>
      <c r="O50" s="410"/>
      <c r="P50" s="410"/>
      <c r="Q50" s="410"/>
      <c r="R50" s="410"/>
      <c r="S50" s="410"/>
      <c r="T50" s="410"/>
      <c r="U50" s="410"/>
      <c r="V50" s="410"/>
      <c r="W50" s="410"/>
      <c r="X50" s="410"/>
      <c r="Y50" s="410"/>
      <c r="Z50" s="410"/>
      <c r="AA50" s="410"/>
      <c r="AB50" s="410"/>
      <c r="AC50" s="410"/>
      <c r="AD50" s="410"/>
      <c r="AE50" s="410"/>
      <c r="AF50" s="410"/>
      <c r="AG50" s="410"/>
      <c r="AH50" s="410"/>
    </row>
    <row r="51" spans="1:34">
      <c r="A51" s="408"/>
      <c r="B51" s="408"/>
      <c r="C51" s="408"/>
      <c r="D51" s="408"/>
      <c r="E51" s="408"/>
      <c r="F51" s="408"/>
      <c r="G51" s="408"/>
      <c r="H51" s="408"/>
      <c r="I51" s="410"/>
      <c r="J51" s="410"/>
      <c r="K51" s="410"/>
      <c r="L51" s="410"/>
      <c r="M51" s="410"/>
      <c r="N51" s="410"/>
      <c r="O51" s="410"/>
      <c r="P51" s="410"/>
      <c r="Q51" s="410"/>
      <c r="R51" s="410"/>
      <c r="S51" s="410"/>
      <c r="T51" s="410"/>
      <c r="U51" s="410"/>
      <c r="V51" s="410"/>
      <c r="W51" s="410"/>
      <c r="X51" s="410"/>
      <c r="Y51" s="410"/>
      <c r="Z51" s="410"/>
      <c r="AA51" s="410"/>
      <c r="AB51" s="410"/>
      <c r="AC51" s="410"/>
      <c r="AD51" s="410"/>
      <c r="AE51" s="410"/>
      <c r="AF51" s="410"/>
      <c r="AG51" s="410"/>
      <c r="AH51" s="410"/>
    </row>
    <row r="52" spans="1:34">
      <c r="A52" s="408"/>
      <c r="B52" s="408"/>
      <c r="C52" s="408"/>
      <c r="D52" s="408"/>
      <c r="E52" s="408"/>
      <c r="F52" s="408"/>
      <c r="G52" s="408"/>
      <c r="H52" s="408"/>
      <c r="I52" s="410"/>
      <c r="J52" s="410"/>
      <c r="K52" s="410"/>
      <c r="L52" s="410"/>
      <c r="M52" s="410"/>
      <c r="N52" s="410"/>
      <c r="O52" s="410"/>
      <c r="P52" s="410"/>
      <c r="Q52" s="410"/>
      <c r="R52" s="410"/>
      <c r="S52" s="410"/>
      <c r="T52" s="410"/>
      <c r="U52" s="410"/>
      <c r="V52" s="410"/>
      <c r="W52" s="410"/>
      <c r="X52" s="410"/>
      <c r="Y52" s="410"/>
      <c r="Z52" s="410"/>
      <c r="AA52" s="410"/>
      <c r="AB52" s="410"/>
      <c r="AC52" s="410"/>
      <c r="AD52" s="410"/>
      <c r="AE52" s="410"/>
      <c r="AF52" s="410"/>
      <c r="AG52" s="410"/>
      <c r="AH52" s="410"/>
    </row>
    <row r="53" spans="1:34">
      <c r="A53" s="408"/>
      <c r="B53" s="408"/>
      <c r="C53" s="408"/>
      <c r="D53" s="408"/>
      <c r="E53" s="408"/>
      <c r="F53" s="408"/>
      <c r="G53" s="408"/>
      <c r="H53" s="408"/>
      <c r="I53" s="410"/>
      <c r="J53" s="410"/>
      <c r="K53" s="410"/>
      <c r="L53" s="410"/>
      <c r="M53" s="410"/>
      <c r="N53" s="410"/>
      <c r="O53" s="410"/>
      <c r="P53" s="410"/>
      <c r="Q53" s="410"/>
      <c r="R53" s="410"/>
      <c r="S53" s="410"/>
      <c r="T53" s="410"/>
      <c r="U53" s="410"/>
      <c r="V53" s="410"/>
      <c r="W53" s="410"/>
      <c r="X53" s="410"/>
      <c r="Y53" s="410"/>
      <c r="Z53" s="410"/>
      <c r="AA53" s="410"/>
      <c r="AB53" s="410"/>
      <c r="AC53" s="410"/>
      <c r="AD53" s="410"/>
      <c r="AE53" s="410"/>
      <c r="AF53" s="410"/>
      <c r="AG53" s="410"/>
      <c r="AH53" s="410"/>
    </row>
    <row r="54" spans="1:34">
      <c r="A54" s="408"/>
      <c r="B54" s="408"/>
      <c r="C54" s="408"/>
      <c r="D54" s="408"/>
      <c r="E54" s="408"/>
      <c r="F54" s="408"/>
      <c r="G54" s="408"/>
      <c r="H54" s="408"/>
      <c r="I54" s="410"/>
      <c r="J54" s="410"/>
      <c r="K54" s="410"/>
      <c r="L54" s="410"/>
      <c r="M54" s="410"/>
      <c r="N54" s="410"/>
      <c r="O54" s="410"/>
      <c r="P54" s="410"/>
      <c r="Q54" s="410"/>
      <c r="R54" s="410"/>
      <c r="S54" s="410"/>
      <c r="T54" s="410"/>
      <c r="U54" s="410"/>
      <c r="V54" s="410"/>
      <c r="W54" s="410"/>
      <c r="X54" s="410"/>
      <c r="Y54" s="410"/>
      <c r="Z54" s="410"/>
      <c r="AA54" s="410"/>
      <c r="AB54" s="410"/>
      <c r="AC54" s="410"/>
      <c r="AD54" s="410"/>
      <c r="AE54" s="410"/>
      <c r="AF54" s="410"/>
      <c r="AG54" s="410"/>
      <c r="AH54" s="410"/>
    </row>
    <row r="55" spans="1:34">
      <c r="A55" s="408"/>
      <c r="B55" s="408"/>
      <c r="C55" s="408"/>
      <c r="D55" s="408"/>
      <c r="E55" s="408"/>
      <c r="F55" s="408"/>
      <c r="G55" s="408"/>
      <c r="H55" s="408"/>
      <c r="I55" s="410"/>
      <c r="J55" s="410"/>
      <c r="K55" s="410"/>
      <c r="L55" s="410"/>
      <c r="M55" s="410"/>
      <c r="N55" s="410"/>
      <c r="O55" s="410"/>
      <c r="P55" s="410"/>
      <c r="Q55" s="410"/>
      <c r="R55" s="410"/>
      <c r="S55" s="410"/>
      <c r="T55" s="410"/>
      <c r="U55" s="410"/>
      <c r="V55" s="410"/>
      <c r="W55" s="410"/>
      <c r="X55" s="410"/>
      <c r="Y55" s="410"/>
      <c r="Z55" s="410"/>
      <c r="AA55" s="410"/>
      <c r="AB55" s="410"/>
      <c r="AC55" s="410"/>
      <c r="AD55" s="410"/>
      <c r="AE55" s="410"/>
      <c r="AF55" s="410"/>
      <c r="AG55" s="410"/>
      <c r="AH55" s="410"/>
    </row>
    <row r="56" spans="1:34">
      <c r="A56" s="408"/>
      <c r="B56" s="408"/>
      <c r="C56" s="408"/>
      <c r="D56" s="408"/>
      <c r="E56" s="408"/>
      <c r="F56" s="408"/>
      <c r="G56" s="408"/>
      <c r="H56" s="408"/>
      <c r="I56" s="410"/>
      <c r="J56" s="410"/>
      <c r="K56" s="410"/>
      <c r="L56" s="410"/>
      <c r="M56" s="410"/>
      <c r="N56" s="410"/>
      <c r="O56" s="410"/>
      <c r="P56" s="410"/>
      <c r="Q56" s="410"/>
      <c r="R56" s="410"/>
      <c r="S56" s="410"/>
      <c r="T56" s="410"/>
      <c r="U56" s="410"/>
      <c r="V56" s="410"/>
      <c r="W56" s="410"/>
      <c r="X56" s="410"/>
      <c r="Y56" s="410"/>
      <c r="Z56" s="410"/>
      <c r="AA56" s="410"/>
      <c r="AB56" s="410"/>
      <c r="AC56" s="410"/>
      <c r="AD56" s="410"/>
      <c r="AE56" s="410"/>
      <c r="AF56" s="410"/>
      <c r="AG56" s="410"/>
      <c r="AH56" s="410"/>
    </row>
    <row r="57" spans="1:34">
      <c r="A57" s="410"/>
      <c r="B57" s="410"/>
      <c r="C57" s="410"/>
      <c r="D57" s="410"/>
      <c r="E57" s="410"/>
      <c r="F57" s="410"/>
      <c r="G57" s="410"/>
      <c r="H57" s="410"/>
      <c r="I57" s="410"/>
      <c r="J57" s="410"/>
      <c r="K57" s="410"/>
      <c r="L57" s="410"/>
      <c r="M57" s="410"/>
      <c r="N57" s="410"/>
      <c r="O57" s="410"/>
      <c r="P57" s="410"/>
      <c r="Q57" s="410"/>
      <c r="R57" s="410"/>
      <c r="S57" s="410"/>
      <c r="T57" s="410"/>
      <c r="U57" s="410"/>
      <c r="V57" s="410"/>
      <c r="W57" s="410"/>
      <c r="X57" s="410"/>
      <c r="Y57" s="410"/>
      <c r="Z57" s="410"/>
      <c r="AA57" s="410"/>
      <c r="AB57" s="410"/>
      <c r="AC57" s="410"/>
      <c r="AD57" s="410"/>
      <c r="AE57" s="410"/>
      <c r="AF57" s="410"/>
      <c r="AG57" s="410"/>
      <c r="AH57" s="410"/>
    </row>
    <row r="58" spans="1:34">
      <c r="A58" s="410"/>
      <c r="B58" s="410"/>
      <c r="C58" s="410"/>
      <c r="D58" s="410"/>
      <c r="E58" s="410"/>
      <c r="F58" s="410"/>
      <c r="G58" s="410"/>
      <c r="H58" s="410"/>
      <c r="I58" s="410"/>
      <c r="J58" s="410"/>
      <c r="K58" s="410"/>
      <c r="L58" s="410"/>
      <c r="M58" s="410"/>
      <c r="N58" s="410"/>
      <c r="O58" s="410"/>
      <c r="P58" s="410"/>
      <c r="Q58" s="410"/>
      <c r="R58" s="410"/>
      <c r="S58" s="410"/>
      <c r="T58" s="410"/>
      <c r="U58" s="410"/>
      <c r="V58" s="410"/>
      <c r="W58" s="410"/>
      <c r="X58" s="410"/>
      <c r="Y58" s="410"/>
      <c r="Z58" s="410"/>
      <c r="AA58" s="410"/>
      <c r="AB58" s="410"/>
      <c r="AC58" s="410"/>
      <c r="AD58" s="410"/>
      <c r="AE58" s="410"/>
      <c r="AF58" s="410"/>
      <c r="AG58" s="410"/>
      <c r="AH58" s="410"/>
    </row>
    <row r="59" spans="1:34">
      <c r="A59" s="410"/>
      <c r="B59" s="410"/>
      <c r="C59" s="410"/>
      <c r="D59" s="410"/>
      <c r="E59" s="410"/>
      <c r="F59" s="410"/>
      <c r="G59" s="410"/>
      <c r="H59" s="410"/>
      <c r="I59" s="410"/>
      <c r="J59" s="410"/>
      <c r="K59" s="410"/>
      <c r="L59" s="410"/>
      <c r="M59" s="410"/>
      <c r="N59" s="410"/>
      <c r="O59" s="410"/>
      <c r="P59" s="410"/>
      <c r="Q59" s="410"/>
      <c r="R59" s="410"/>
      <c r="S59" s="410"/>
      <c r="T59" s="410"/>
      <c r="U59" s="410"/>
      <c r="V59" s="410"/>
      <c r="W59" s="410"/>
      <c r="X59" s="410"/>
      <c r="Y59" s="410"/>
      <c r="Z59" s="410"/>
      <c r="AA59" s="410"/>
      <c r="AB59" s="410"/>
      <c r="AC59" s="410"/>
      <c r="AD59" s="410"/>
      <c r="AE59" s="410"/>
      <c r="AF59" s="410"/>
      <c r="AG59" s="410"/>
      <c r="AH59" s="410"/>
    </row>
    <row r="60" spans="1:34">
      <c r="A60" s="410"/>
      <c r="B60" s="410"/>
      <c r="C60" s="410"/>
      <c r="D60" s="410"/>
      <c r="E60" s="410"/>
      <c r="F60" s="410"/>
      <c r="G60" s="410"/>
      <c r="H60" s="410"/>
      <c r="I60" s="410"/>
      <c r="J60" s="410"/>
      <c r="K60" s="410"/>
      <c r="L60" s="410"/>
      <c r="M60" s="410"/>
      <c r="N60" s="410"/>
      <c r="O60" s="410"/>
      <c r="P60" s="410"/>
      <c r="Q60" s="410"/>
      <c r="R60" s="410"/>
      <c r="S60" s="410"/>
      <c r="T60" s="410"/>
      <c r="U60" s="410"/>
      <c r="V60" s="410"/>
      <c r="W60" s="410"/>
      <c r="X60" s="410"/>
      <c r="Y60" s="410"/>
      <c r="Z60" s="410"/>
      <c r="AA60" s="410"/>
      <c r="AB60" s="410"/>
      <c r="AC60" s="410"/>
      <c r="AD60" s="410"/>
      <c r="AE60" s="410"/>
      <c r="AF60" s="410"/>
      <c r="AG60" s="410"/>
      <c r="AH60" s="410"/>
    </row>
    <row r="61" spans="1:34">
      <c r="A61" s="410"/>
      <c r="B61" s="410"/>
      <c r="C61" s="410"/>
      <c r="D61" s="410"/>
      <c r="E61" s="410"/>
      <c r="F61" s="410"/>
      <c r="G61" s="410"/>
      <c r="H61" s="410"/>
      <c r="I61" s="410"/>
      <c r="J61" s="410"/>
      <c r="K61" s="410"/>
      <c r="L61" s="410"/>
      <c r="M61" s="410"/>
      <c r="N61" s="410"/>
      <c r="O61" s="410"/>
      <c r="P61" s="410"/>
      <c r="Q61" s="410"/>
      <c r="R61" s="410"/>
      <c r="S61" s="410"/>
      <c r="T61" s="410"/>
      <c r="U61" s="410"/>
      <c r="V61" s="410"/>
      <c r="W61" s="410"/>
      <c r="X61" s="410"/>
      <c r="Y61" s="410"/>
      <c r="Z61" s="410"/>
      <c r="AA61" s="410"/>
      <c r="AB61" s="410"/>
      <c r="AC61" s="410"/>
      <c r="AD61" s="410"/>
      <c r="AE61" s="410"/>
      <c r="AF61" s="410"/>
      <c r="AG61" s="410"/>
      <c r="AH61" s="410"/>
    </row>
    <row r="62" spans="1:34">
      <c r="A62" s="410"/>
      <c r="B62" s="410"/>
      <c r="C62" s="410"/>
      <c r="D62" s="410"/>
      <c r="E62" s="410"/>
      <c r="F62" s="410"/>
      <c r="G62" s="410"/>
      <c r="H62" s="410"/>
      <c r="I62" s="410"/>
      <c r="J62" s="410"/>
      <c r="K62" s="410"/>
      <c r="L62" s="410"/>
      <c r="M62" s="410"/>
      <c r="N62" s="410"/>
      <c r="O62" s="410"/>
      <c r="P62" s="410"/>
      <c r="Q62" s="410"/>
      <c r="R62" s="410"/>
      <c r="S62" s="410"/>
      <c r="T62" s="410"/>
      <c r="U62" s="410"/>
      <c r="V62" s="410"/>
      <c r="W62" s="410"/>
      <c r="X62" s="410"/>
      <c r="Y62" s="410"/>
      <c r="Z62" s="410"/>
      <c r="AA62" s="410"/>
      <c r="AB62" s="410"/>
      <c r="AC62" s="410"/>
      <c r="AD62" s="410"/>
      <c r="AE62" s="410"/>
      <c r="AF62" s="410"/>
      <c r="AG62" s="410"/>
      <c r="AH62" s="410"/>
    </row>
    <row r="63" spans="1:34">
      <c r="A63" s="410"/>
      <c r="B63" s="410"/>
      <c r="C63" s="410"/>
      <c r="D63" s="410"/>
      <c r="E63" s="410"/>
      <c r="F63" s="410"/>
      <c r="G63" s="410"/>
      <c r="H63" s="410"/>
      <c r="I63" s="410"/>
      <c r="J63" s="410"/>
      <c r="K63" s="410"/>
      <c r="L63" s="410"/>
      <c r="M63" s="410"/>
      <c r="N63" s="410"/>
      <c r="O63" s="410"/>
      <c r="P63" s="410"/>
      <c r="Q63" s="410"/>
      <c r="R63" s="410"/>
      <c r="S63" s="410"/>
      <c r="T63" s="410"/>
      <c r="U63" s="410"/>
      <c r="V63" s="410"/>
      <c r="W63" s="410"/>
      <c r="X63" s="410"/>
      <c r="Y63" s="410"/>
      <c r="Z63" s="410"/>
      <c r="AA63" s="410"/>
      <c r="AB63" s="410"/>
      <c r="AC63" s="410"/>
      <c r="AD63" s="410"/>
      <c r="AE63" s="410"/>
      <c r="AF63" s="410"/>
      <c r="AG63" s="410"/>
      <c r="AH63" s="410"/>
    </row>
    <row r="64" spans="1:34">
      <c r="A64" s="410"/>
      <c r="B64" s="410"/>
      <c r="C64" s="410"/>
      <c r="D64" s="410"/>
      <c r="E64" s="410"/>
      <c r="F64" s="410"/>
      <c r="G64" s="410"/>
      <c r="H64" s="410"/>
      <c r="I64" s="410"/>
      <c r="J64" s="410"/>
      <c r="K64" s="410"/>
      <c r="L64" s="410"/>
      <c r="M64" s="410"/>
      <c r="N64" s="410"/>
      <c r="O64" s="410"/>
      <c r="P64" s="410"/>
      <c r="Q64" s="410"/>
      <c r="R64" s="410"/>
      <c r="S64" s="410"/>
      <c r="T64" s="410"/>
      <c r="U64" s="410"/>
      <c r="V64" s="410"/>
      <c r="W64" s="410"/>
      <c r="X64" s="410"/>
      <c r="Y64" s="410"/>
      <c r="Z64" s="410"/>
      <c r="AA64" s="410"/>
      <c r="AB64" s="410"/>
      <c r="AC64" s="410"/>
      <c r="AD64" s="410"/>
      <c r="AE64" s="410"/>
      <c r="AF64" s="410"/>
      <c r="AG64" s="410"/>
      <c r="AH64" s="410"/>
    </row>
    <row r="65" spans="1:34">
      <c r="A65" s="410"/>
      <c r="B65" s="410"/>
      <c r="C65" s="410"/>
      <c r="D65" s="410"/>
      <c r="E65" s="410"/>
      <c r="F65" s="410"/>
      <c r="G65" s="410"/>
      <c r="H65" s="410"/>
      <c r="I65" s="410"/>
      <c r="J65" s="410"/>
      <c r="K65" s="410"/>
      <c r="L65" s="410"/>
      <c r="M65" s="410"/>
      <c r="N65" s="410"/>
      <c r="O65" s="410"/>
      <c r="P65" s="410"/>
      <c r="Q65" s="410"/>
      <c r="R65" s="410"/>
      <c r="S65" s="410"/>
      <c r="T65" s="410"/>
      <c r="U65" s="410"/>
      <c r="V65" s="410"/>
      <c r="W65" s="410"/>
      <c r="X65" s="410"/>
      <c r="Y65" s="410"/>
      <c r="Z65" s="410"/>
      <c r="AA65" s="410"/>
      <c r="AB65" s="410"/>
      <c r="AC65" s="410"/>
      <c r="AD65" s="410"/>
      <c r="AE65" s="410"/>
      <c r="AF65" s="410"/>
      <c r="AG65" s="410"/>
      <c r="AH65" s="410"/>
    </row>
    <row r="66" spans="1:34">
      <c r="A66" s="410"/>
      <c r="B66" s="410"/>
      <c r="C66" s="410"/>
      <c r="D66" s="410"/>
      <c r="E66" s="410"/>
      <c r="F66" s="410"/>
      <c r="G66" s="410"/>
      <c r="H66" s="410"/>
      <c r="I66" s="410"/>
      <c r="J66" s="410"/>
      <c r="K66" s="410"/>
      <c r="L66" s="410"/>
      <c r="M66" s="410"/>
      <c r="N66" s="410"/>
      <c r="O66" s="410"/>
      <c r="P66" s="410"/>
      <c r="Q66" s="410"/>
      <c r="R66" s="410"/>
      <c r="S66" s="410"/>
      <c r="T66" s="410"/>
      <c r="U66" s="410"/>
      <c r="V66" s="410"/>
      <c r="W66" s="410"/>
      <c r="X66" s="410"/>
      <c r="Y66" s="410"/>
      <c r="Z66" s="410"/>
      <c r="AA66" s="410"/>
      <c r="AB66" s="410"/>
      <c r="AC66" s="410"/>
      <c r="AD66" s="410"/>
      <c r="AE66" s="410"/>
      <c r="AF66" s="410"/>
      <c r="AG66" s="410"/>
      <c r="AH66" s="410"/>
    </row>
    <row r="67" spans="1:34">
      <c r="A67" s="410"/>
      <c r="B67" s="410"/>
      <c r="C67" s="410"/>
      <c r="D67" s="410"/>
      <c r="E67" s="410"/>
      <c r="F67" s="410"/>
      <c r="G67" s="410"/>
      <c r="H67" s="410"/>
      <c r="I67" s="410"/>
      <c r="J67" s="410"/>
      <c r="K67" s="410"/>
      <c r="L67" s="410"/>
      <c r="M67" s="410"/>
      <c r="N67" s="410"/>
      <c r="O67" s="410"/>
      <c r="P67" s="410"/>
      <c r="Q67" s="410"/>
      <c r="R67" s="410"/>
      <c r="S67" s="410"/>
      <c r="T67" s="410"/>
      <c r="U67" s="410"/>
      <c r="V67" s="410"/>
      <c r="W67" s="410"/>
      <c r="X67" s="410"/>
      <c r="Y67" s="410"/>
      <c r="Z67" s="410"/>
      <c r="AA67" s="410"/>
      <c r="AB67" s="410"/>
      <c r="AC67" s="410"/>
      <c r="AD67" s="410"/>
      <c r="AE67" s="410"/>
      <c r="AF67" s="410"/>
      <c r="AG67" s="410"/>
      <c r="AH67" s="410"/>
    </row>
    <row r="68" spans="1:34">
      <c r="A68" s="410"/>
      <c r="B68" s="410"/>
      <c r="C68" s="410"/>
      <c r="D68" s="410"/>
      <c r="E68" s="410"/>
      <c r="F68" s="410"/>
      <c r="G68" s="410"/>
      <c r="H68" s="410"/>
      <c r="I68" s="410"/>
      <c r="J68" s="410"/>
      <c r="K68" s="410"/>
      <c r="L68" s="410"/>
      <c r="M68" s="410"/>
      <c r="N68" s="410"/>
      <c r="O68" s="410"/>
      <c r="P68" s="410"/>
      <c r="Q68" s="410"/>
      <c r="R68" s="410"/>
      <c r="S68" s="410"/>
      <c r="T68" s="410"/>
      <c r="U68" s="410"/>
      <c r="V68" s="410"/>
      <c r="W68" s="410"/>
      <c r="X68" s="410"/>
      <c r="Y68" s="410"/>
      <c r="Z68" s="410"/>
      <c r="AA68" s="410"/>
      <c r="AB68" s="410"/>
      <c r="AC68" s="410"/>
      <c r="AD68" s="410"/>
      <c r="AE68" s="410"/>
      <c r="AF68" s="410"/>
      <c r="AG68" s="410"/>
      <c r="AH68" s="410"/>
    </row>
    <row r="69" spans="1:34">
      <c r="A69" s="410"/>
      <c r="B69" s="410"/>
      <c r="C69" s="410"/>
      <c r="D69" s="410"/>
      <c r="E69" s="410"/>
      <c r="F69" s="410"/>
      <c r="G69" s="410"/>
      <c r="H69" s="410"/>
      <c r="I69" s="410"/>
      <c r="J69" s="410"/>
      <c r="K69" s="410"/>
      <c r="L69" s="410"/>
      <c r="M69" s="410"/>
      <c r="N69" s="410"/>
      <c r="O69" s="410"/>
      <c r="P69" s="410"/>
      <c r="Q69" s="410"/>
      <c r="R69" s="410"/>
      <c r="S69" s="410"/>
      <c r="T69" s="410"/>
      <c r="U69" s="410"/>
      <c r="V69" s="410"/>
      <c r="W69" s="410"/>
      <c r="X69" s="410"/>
      <c r="Y69" s="410"/>
      <c r="Z69" s="410"/>
      <c r="AA69" s="410"/>
      <c r="AB69" s="410"/>
      <c r="AC69" s="410"/>
      <c r="AD69" s="410"/>
      <c r="AE69" s="410"/>
      <c r="AF69" s="410"/>
      <c r="AG69" s="410"/>
      <c r="AH69" s="410"/>
    </row>
    <row r="70" spans="1:34">
      <c r="A70" s="410"/>
      <c r="B70" s="410"/>
      <c r="C70" s="410"/>
      <c r="D70" s="410"/>
      <c r="E70" s="410"/>
      <c r="F70" s="410"/>
      <c r="G70" s="410"/>
      <c r="H70" s="410"/>
      <c r="I70" s="410"/>
      <c r="J70" s="410"/>
      <c r="K70" s="410"/>
      <c r="L70" s="410"/>
      <c r="M70" s="410"/>
      <c r="N70" s="410"/>
      <c r="O70" s="410"/>
      <c r="P70" s="410"/>
      <c r="Q70" s="410"/>
      <c r="R70" s="410"/>
      <c r="S70" s="410"/>
      <c r="T70" s="410"/>
      <c r="U70" s="410"/>
      <c r="V70" s="410"/>
      <c r="W70" s="410"/>
      <c r="X70" s="410"/>
      <c r="Y70" s="410"/>
      <c r="Z70" s="410"/>
      <c r="AA70" s="410"/>
      <c r="AB70" s="410"/>
      <c r="AC70" s="410"/>
      <c r="AD70" s="410"/>
      <c r="AE70" s="410"/>
      <c r="AF70" s="410"/>
      <c r="AG70" s="410"/>
      <c r="AH70" s="410"/>
    </row>
    <row r="71" spans="1:34">
      <c r="A71" s="410"/>
      <c r="B71" s="410"/>
      <c r="C71" s="410"/>
      <c r="D71" s="410"/>
      <c r="E71" s="410"/>
      <c r="F71" s="410"/>
      <c r="G71" s="410"/>
      <c r="H71" s="410"/>
      <c r="I71" s="410"/>
      <c r="J71" s="410"/>
      <c r="K71" s="410"/>
      <c r="L71" s="410"/>
      <c r="M71" s="410"/>
      <c r="N71" s="410"/>
      <c r="O71" s="410"/>
      <c r="P71" s="410"/>
      <c r="Q71" s="410"/>
      <c r="R71" s="410"/>
      <c r="S71" s="410"/>
      <c r="T71" s="410"/>
      <c r="U71" s="410"/>
      <c r="V71" s="410"/>
      <c r="W71" s="410"/>
      <c r="X71" s="410"/>
      <c r="Y71" s="410"/>
      <c r="Z71" s="410"/>
      <c r="AA71" s="410"/>
      <c r="AB71" s="410"/>
      <c r="AC71" s="410"/>
      <c r="AD71" s="410"/>
      <c r="AE71" s="410"/>
      <c r="AF71" s="410"/>
      <c r="AG71" s="410"/>
      <c r="AH71" s="410"/>
    </row>
    <row r="72" spans="1:34">
      <c r="A72" s="410"/>
      <c r="B72" s="410"/>
      <c r="C72" s="410"/>
      <c r="D72" s="410"/>
      <c r="E72" s="410"/>
      <c r="F72" s="410"/>
      <c r="G72" s="410"/>
      <c r="H72" s="410"/>
      <c r="I72" s="410"/>
      <c r="J72" s="410"/>
      <c r="K72" s="410"/>
      <c r="L72" s="410"/>
      <c r="M72" s="410"/>
      <c r="N72" s="410"/>
      <c r="O72" s="410"/>
      <c r="P72" s="410"/>
      <c r="Q72" s="410"/>
      <c r="R72" s="410"/>
      <c r="S72" s="410"/>
      <c r="T72" s="410"/>
      <c r="U72" s="410"/>
      <c r="V72" s="410"/>
      <c r="W72" s="410"/>
      <c r="X72" s="410"/>
      <c r="Y72" s="410"/>
      <c r="Z72" s="410"/>
      <c r="AA72" s="410"/>
      <c r="AB72" s="410"/>
      <c r="AC72" s="410"/>
      <c r="AD72" s="410"/>
      <c r="AE72" s="410"/>
      <c r="AF72" s="410"/>
      <c r="AG72" s="410"/>
      <c r="AH72" s="410"/>
    </row>
    <row r="73" spans="1:34">
      <c r="A73" s="410"/>
      <c r="B73" s="410"/>
      <c r="C73" s="410"/>
      <c r="D73" s="410"/>
      <c r="E73" s="410"/>
      <c r="F73" s="410"/>
      <c r="G73" s="410"/>
      <c r="H73" s="410"/>
      <c r="I73" s="410"/>
      <c r="J73" s="410"/>
      <c r="K73" s="410"/>
      <c r="L73" s="410"/>
      <c r="M73" s="410"/>
      <c r="N73" s="410"/>
      <c r="O73" s="410"/>
      <c r="P73" s="410"/>
      <c r="Q73" s="410"/>
      <c r="R73" s="410"/>
      <c r="S73" s="410"/>
      <c r="T73" s="410"/>
      <c r="U73" s="410"/>
      <c r="V73" s="410"/>
      <c r="W73" s="410"/>
      <c r="X73" s="410"/>
      <c r="Y73" s="410"/>
      <c r="Z73" s="410"/>
      <c r="AA73" s="410"/>
      <c r="AB73" s="410"/>
      <c r="AC73" s="410"/>
      <c r="AD73" s="410"/>
      <c r="AE73" s="410"/>
      <c r="AF73" s="410"/>
      <c r="AG73" s="410"/>
      <c r="AH73" s="410"/>
    </row>
    <row r="74" spans="1:34">
      <c r="A74" s="410"/>
      <c r="B74" s="410"/>
      <c r="C74" s="410"/>
      <c r="D74" s="410"/>
      <c r="E74" s="410"/>
      <c r="F74" s="410"/>
      <c r="G74" s="410"/>
      <c r="H74" s="410"/>
      <c r="I74" s="410"/>
      <c r="J74" s="410"/>
      <c r="K74" s="410"/>
      <c r="L74" s="410"/>
      <c r="M74" s="410"/>
      <c r="N74" s="410"/>
      <c r="O74" s="410"/>
      <c r="P74" s="410"/>
      <c r="Q74" s="410"/>
      <c r="R74" s="410"/>
      <c r="S74" s="410"/>
      <c r="T74" s="410"/>
      <c r="U74" s="410"/>
      <c r="V74" s="410"/>
      <c r="W74" s="410"/>
      <c r="X74" s="410"/>
      <c r="Y74" s="410"/>
      <c r="Z74" s="410"/>
      <c r="AA74" s="410"/>
      <c r="AB74" s="410"/>
      <c r="AC74" s="410"/>
      <c r="AD74" s="410"/>
      <c r="AE74" s="410"/>
      <c r="AF74" s="410"/>
      <c r="AG74" s="410"/>
      <c r="AH74" s="410"/>
    </row>
    <row r="75" spans="1:34">
      <c r="A75" s="410"/>
      <c r="B75" s="410"/>
      <c r="C75" s="410"/>
      <c r="D75" s="410"/>
      <c r="E75" s="410"/>
      <c r="F75" s="410"/>
      <c r="G75" s="410"/>
      <c r="H75" s="410"/>
      <c r="I75" s="410"/>
      <c r="J75" s="410"/>
      <c r="K75" s="410"/>
      <c r="L75" s="410"/>
      <c r="M75" s="410"/>
      <c r="N75" s="410"/>
      <c r="O75" s="410"/>
      <c r="P75" s="410"/>
      <c r="Q75" s="410"/>
      <c r="R75" s="410"/>
      <c r="S75" s="410"/>
      <c r="T75" s="410"/>
      <c r="U75" s="410"/>
      <c r="V75" s="410"/>
      <c r="W75" s="410"/>
      <c r="X75" s="410"/>
      <c r="Y75" s="410"/>
      <c r="Z75" s="410"/>
      <c r="AA75" s="410"/>
      <c r="AB75" s="410"/>
      <c r="AC75" s="410"/>
      <c r="AD75" s="410"/>
      <c r="AE75" s="410"/>
      <c r="AF75" s="410"/>
      <c r="AG75" s="410"/>
      <c r="AH75" s="410"/>
    </row>
    <row r="76" spans="1:34">
      <c r="A76" s="410"/>
      <c r="B76" s="410"/>
      <c r="C76" s="410"/>
      <c r="D76" s="410"/>
      <c r="E76" s="410"/>
      <c r="F76" s="410"/>
      <c r="G76" s="410"/>
      <c r="H76" s="410"/>
      <c r="I76" s="410"/>
      <c r="J76" s="410"/>
      <c r="K76" s="410"/>
      <c r="L76" s="410"/>
      <c r="M76" s="410"/>
      <c r="N76" s="410"/>
      <c r="O76" s="410"/>
      <c r="P76" s="410"/>
      <c r="Q76" s="410"/>
      <c r="R76" s="410"/>
      <c r="S76" s="410"/>
      <c r="T76" s="410"/>
      <c r="U76" s="410"/>
      <c r="V76" s="410"/>
      <c r="W76" s="410"/>
      <c r="X76" s="410"/>
      <c r="Y76" s="410"/>
      <c r="Z76" s="410"/>
      <c r="AA76" s="410"/>
      <c r="AB76" s="410"/>
      <c r="AC76" s="410"/>
      <c r="AD76" s="410"/>
      <c r="AE76" s="410"/>
      <c r="AF76" s="410"/>
      <c r="AG76" s="410"/>
      <c r="AH76" s="410"/>
    </row>
    <row r="77" spans="1:34">
      <c r="A77" s="410"/>
      <c r="B77" s="410"/>
      <c r="C77" s="410"/>
      <c r="D77" s="410"/>
      <c r="E77" s="410"/>
      <c r="F77" s="410"/>
      <c r="G77" s="410"/>
      <c r="H77" s="410"/>
      <c r="I77" s="410"/>
      <c r="J77" s="410"/>
      <c r="K77" s="410"/>
      <c r="L77" s="410"/>
      <c r="M77" s="410"/>
      <c r="N77" s="410"/>
      <c r="O77" s="410"/>
      <c r="P77" s="410"/>
      <c r="Q77" s="410"/>
      <c r="R77" s="410"/>
      <c r="S77" s="410"/>
      <c r="T77" s="410"/>
      <c r="U77" s="410"/>
      <c r="V77" s="410"/>
      <c r="W77" s="410"/>
      <c r="X77" s="410"/>
      <c r="Y77" s="410"/>
      <c r="Z77" s="410"/>
      <c r="AA77" s="410"/>
      <c r="AB77" s="410"/>
      <c r="AC77" s="410"/>
      <c r="AD77" s="410"/>
      <c r="AE77" s="410"/>
      <c r="AF77" s="410"/>
      <c r="AG77" s="410"/>
      <c r="AH77" s="410"/>
    </row>
    <row r="78" spans="1:34">
      <c r="A78" s="410"/>
      <c r="B78" s="410"/>
      <c r="C78" s="410"/>
      <c r="D78" s="410"/>
      <c r="E78" s="410"/>
      <c r="F78" s="410"/>
      <c r="G78" s="410"/>
      <c r="H78" s="410"/>
      <c r="I78" s="410"/>
      <c r="J78" s="410"/>
      <c r="K78" s="410"/>
      <c r="L78" s="410"/>
      <c r="M78" s="410"/>
      <c r="N78" s="410"/>
      <c r="O78" s="410"/>
      <c r="P78" s="410"/>
      <c r="Q78" s="410"/>
      <c r="R78" s="410"/>
      <c r="S78" s="410"/>
      <c r="T78" s="410"/>
      <c r="U78" s="410"/>
      <c r="V78" s="410"/>
      <c r="W78" s="410"/>
      <c r="X78" s="410"/>
      <c r="Y78" s="410"/>
      <c r="Z78" s="410"/>
      <c r="AA78" s="410"/>
      <c r="AB78" s="410"/>
      <c r="AC78" s="410"/>
      <c r="AD78" s="410"/>
      <c r="AE78" s="410"/>
      <c r="AF78" s="410"/>
      <c r="AG78" s="410"/>
      <c r="AH78" s="410"/>
    </row>
    <row r="79" spans="1:34">
      <c r="A79" s="410"/>
      <c r="B79" s="410"/>
      <c r="C79" s="410"/>
      <c r="D79" s="410"/>
      <c r="E79" s="410"/>
      <c r="F79" s="410"/>
      <c r="G79" s="410"/>
      <c r="H79" s="410"/>
      <c r="I79" s="410"/>
      <c r="J79" s="410"/>
      <c r="K79" s="410"/>
      <c r="L79" s="410"/>
      <c r="M79" s="410"/>
      <c r="N79" s="410"/>
      <c r="O79" s="410"/>
      <c r="P79" s="410"/>
      <c r="Q79" s="410"/>
      <c r="R79" s="410"/>
      <c r="S79" s="410"/>
      <c r="T79" s="410"/>
      <c r="U79" s="410"/>
      <c r="V79" s="410"/>
      <c r="W79" s="410"/>
      <c r="X79" s="410"/>
      <c r="Y79" s="410"/>
      <c r="Z79" s="410"/>
      <c r="AA79" s="410"/>
      <c r="AB79" s="410"/>
      <c r="AC79" s="410"/>
      <c r="AD79" s="410"/>
      <c r="AE79" s="410"/>
      <c r="AF79" s="410"/>
      <c r="AG79" s="410"/>
      <c r="AH79" s="410"/>
    </row>
    <row r="80" spans="1:34">
      <c r="A80" s="410"/>
      <c r="B80" s="410"/>
      <c r="C80" s="410"/>
      <c r="D80" s="410"/>
      <c r="E80" s="410"/>
      <c r="F80" s="410"/>
      <c r="G80" s="410"/>
      <c r="H80" s="410"/>
      <c r="I80" s="410"/>
      <c r="J80" s="410"/>
      <c r="K80" s="410"/>
      <c r="L80" s="410"/>
      <c r="M80" s="410"/>
      <c r="N80" s="410"/>
      <c r="O80" s="410"/>
      <c r="P80" s="410"/>
      <c r="Q80" s="410"/>
      <c r="R80" s="410"/>
      <c r="S80" s="410"/>
      <c r="T80" s="410"/>
      <c r="U80" s="410"/>
      <c r="V80" s="410"/>
      <c r="W80" s="410"/>
      <c r="X80" s="410"/>
      <c r="Y80" s="410"/>
      <c r="Z80" s="410"/>
      <c r="AA80" s="410"/>
      <c r="AB80" s="410"/>
      <c r="AC80" s="410"/>
      <c r="AD80" s="410"/>
      <c r="AE80" s="410"/>
      <c r="AF80" s="410"/>
      <c r="AG80" s="410"/>
      <c r="AH80" s="410"/>
    </row>
    <row r="81" spans="1:34">
      <c r="A81" s="410"/>
      <c r="B81" s="410"/>
      <c r="C81" s="410"/>
      <c r="D81" s="410"/>
      <c r="E81" s="410"/>
      <c r="F81" s="410"/>
      <c r="G81" s="410"/>
      <c r="H81" s="410"/>
      <c r="I81" s="410"/>
      <c r="J81" s="410"/>
      <c r="K81" s="410"/>
      <c r="L81" s="410"/>
      <c r="M81" s="410"/>
      <c r="N81" s="410"/>
      <c r="O81" s="410"/>
      <c r="P81" s="410"/>
      <c r="Q81" s="410"/>
      <c r="R81" s="410"/>
      <c r="S81" s="410"/>
      <c r="T81" s="410"/>
      <c r="U81" s="410"/>
      <c r="V81" s="410"/>
      <c r="W81" s="410"/>
      <c r="X81" s="410"/>
      <c r="Y81" s="410"/>
      <c r="Z81" s="410"/>
      <c r="AA81" s="410"/>
      <c r="AB81" s="410"/>
      <c r="AC81" s="410"/>
      <c r="AD81" s="410"/>
      <c r="AE81" s="410"/>
      <c r="AF81" s="410"/>
      <c r="AG81" s="410"/>
      <c r="AH81" s="410"/>
    </row>
    <row r="82" spans="1:34">
      <c r="A82" s="410"/>
      <c r="B82" s="410"/>
      <c r="C82" s="410"/>
      <c r="D82" s="410"/>
      <c r="E82" s="410"/>
      <c r="F82" s="410"/>
      <c r="G82" s="410"/>
      <c r="H82" s="410"/>
      <c r="I82" s="410"/>
      <c r="J82" s="410"/>
      <c r="K82" s="410"/>
      <c r="L82" s="410"/>
      <c r="M82" s="410"/>
      <c r="N82" s="410"/>
      <c r="O82" s="410"/>
      <c r="P82" s="410"/>
      <c r="Q82" s="410"/>
      <c r="R82" s="410"/>
      <c r="S82" s="410"/>
      <c r="T82" s="410"/>
      <c r="U82" s="410"/>
      <c r="V82" s="410"/>
      <c r="W82" s="410"/>
      <c r="X82" s="410"/>
      <c r="Y82" s="410"/>
      <c r="Z82" s="410"/>
      <c r="AA82" s="410"/>
      <c r="AB82" s="410"/>
      <c r="AC82" s="410"/>
      <c r="AD82" s="410"/>
      <c r="AE82" s="410"/>
      <c r="AF82" s="410"/>
      <c r="AG82" s="410"/>
      <c r="AH82" s="410"/>
    </row>
    <row r="83" spans="1:34">
      <c r="A83" s="410"/>
      <c r="B83" s="410"/>
      <c r="C83" s="410"/>
      <c r="D83" s="410"/>
      <c r="E83" s="410"/>
      <c r="F83" s="410"/>
      <c r="G83" s="410"/>
      <c r="H83" s="410"/>
      <c r="I83" s="410"/>
      <c r="J83" s="410"/>
      <c r="K83" s="410"/>
      <c r="L83" s="410"/>
      <c r="M83" s="410"/>
      <c r="N83" s="410"/>
      <c r="O83" s="410"/>
      <c r="P83" s="410"/>
      <c r="Q83" s="410"/>
      <c r="R83" s="410"/>
      <c r="S83" s="410"/>
      <c r="T83" s="410"/>
      <c r="U83" s="410"/>
      <c r="V83" s="410"/>
      <c r="W83" s="410"/>
      <c r="X83" s="410"/>
      <c r="Y83" s="410"/>
      <c r="Z83" s="410"/>
      <c r="AA83" s="410"/>
      <c r="AB83" s="410"/>
      <c r="AC83" s="410"/>
      <c r="AD83" s="410"/>
      <c r="AE83" s="410"/>
      <c r="AF83" s="410"/>
      <c r="AG83" s="410"/>
      <c r="AH83" s="410"/>
    </row>
    <row r="84" spans="1:34">
      <c r="A84" s="410"/>
      <c r="B84" s="410"/>
      <c r="C84" s="410"/>
      <c r="D84" s="410"/>
      <c r="E84" s="410"/>
      <c r="F84" s="410"/>
      <c r="G84" s="410"/>
      <c r="H84" s="410"/>
      <c r="I84" s="410"/>
      <c r="J84" s="410"/>
      <c r="K84" s="410"/>
      <c r="L84" s="410"/>
      <c r="M84" s="410"/>
      <c r="N84" s="410"/>
      <c r="O84" s="410"/>
      <c r="P84" s="410"/>
      <c r="Q84" s="410"/>
      <c r="R84" s="410"/>
      <c r="S84" s="410"/>
      <c r="T84" s="410"/>
      <c r="U84" s="410"/>
      <c r="V84" s="410"/>
      <c r="W84" s="410"/>
      <c r="X84" s="410"/>
      <c r="Y84" s="410"/>
      <c r="Z84" s="410"/>
      <c r="AA84" s="410"/>
      <c r="AB84" s="410"/>
      <c r="AC84" s="410"/>
      <c r="AD84" s="410"/>
      <c r="AE84" s="410"/>
      <c r="AF84" s="410"/>
      <c r="AG84" s="410"/>
      <c r="AH84" s="410"/>
    </row>
    <row r="85" spans="1:34">
      <c r="A85" s="410"/>
      <c r="B85" s="410"/>
      <c r="C85" s="410"/>
      <c r="D85" s="410"/>
      <c r="E85" s="410"/>
      <c r="F85" s="410"/>
      <c r="G85" s="410"/>
      <c r="H85" s="410"/>
      <c r="I85" s="410"/>
      <c r="J85" s="410"/>
      <c r="K85" s="410"/>
      <c r="L85" s="410"/>
      <c r="M85" s="410"/>
      <c r="N85" s="410"/>
      <c r="O85" s="410"/>
      <c r="P85" s="410"/>
      <c r="Q85" s="410"/>
      <c r="R85" s="410"/>
      <c r="S85" s="410"/>
      <c r="T85" s="410"/>
      <c r="U85" s="410"/>
      <c r="V85" s="410"/>
      <c r="W85" s="410"/>
      <c r="X85" s="410"/>
      <c r="Y85" s="410"/>
      <c r="Z85" s="410"/>
      <c r="AA85" s="410"/>
      <c r="AB85" s="410"/>
      <c r="AC85" s="410"/>
      <c r="AD85" s="410"/>
      <c r="AE85" s="410"/>
      <c r="AF85" s="410"/>
      <c r="AG85" s="410"/>
      <c r="AH85" s="410"/>
    </row>
    <row r="86" spans="1:34">
      <c r="A86" s="410"/>
      <c r="B86" s="410"/>
      <c r="C86" s="410"/>
      <c r="D86" s="410"/>
      <c r="E86" s="410"/>
      <c r="F86" s="410"/>
      <c r="G86" s="410"/>
      <c r="H86" s="410"/>
      <c r="I86" s="410"/>
      <c r="J86" s="410"/>
      <c r="K86" s="410"/>
      <c r="L86" s="410"/>
      <c r="M86" s="410"/>
      <c r="N86" s="410"/>
      <c r="O86" s="410"/>
      <c r="P86" s="410"/>
      <c r="Q86" s="410"/>
      <c r="R86" s="410"/>
      <c r="S86" s="410"/>
      <c r="T86" s="410"/>
      <c r="U86" s="410"/>
      <c r="V86" s="410"/>
      <c r="W86" s="410"/>
      <c r="X86" s="410"/>
      <c r="Y86" s="410"/>
      <c r="Z86" s="410"/>
      <c r="AA86" s="410"/>
      <c r="AB86" s="410"/>
      <c r="AC86" s="410"/>
      <c r="AD86" s="410"/>
      <c r="AE86" s="410"/>
      <c r="AF86" s="410"/>
      <c r="AG86" s="410"/>
      <c r="AH86" s="410"/>
    </row>
    <row r="87" spans="1:34">
      <c r="A87" s="410"/>
      <c r="B87" s="410"/>
      <c r="C87" s="410"/>
      <c r="D87" s="410"/>
      <c r="E87" s="410"/>
      <c r="F87" s="410"/>
      <c r="G87" s="410"/>
      <c r="H87" s="410"/>
      <c r="I87" s="410"/>
      <c r="J87" s="410"/>
      <c r="K87" s="410"/>
      <c r="L87" s="410"/>
      <c r="M87" s="410"/>
      <c r="N87" s="410"/>
      <c r="O87" s="410"/>
      <c r="P87" s="410"/>
      <c r="Q87" s="410"/>
      <c r="R87" s="410"/>
      <c r="S87" s="410"/>
      <c r="T87" s="410"/>
      <c r="U87" s="410"/>
      <c r="V87" s="410"/>
      <c r="W87" s="410"/>
      <c r="X87" s="410"/>
      <c r="Y87" s="410"/>
      <c r="Z87" s="410"/>
      <c r="AA87" s="410"/>
      <c r="AB87" s="410"/>
      <c r="AC87" s="410"/>
      <c r="AD87" s="410"/>
      <c r="AE87" s="410"/>
      <c r="AF87" s="410"/>
      <c r="AG87" s="410"/>
      <c r="AH87" s="410"/>
    </row>
    <row r="88" spans="1:34">
      <c r="A88" s="410"/>
      <c r="B88" s="410"/>
      <c r="C88" s="410"/>
      <c r="D88" s="410"/>
      <c r="E88" s="410"/>
      <c r="F88" s="410"/>
      <c r="G88" s="410"/>
      <c r="H88" s="410"/>
      <c r="I88" s="410"/>
      <c r="J88" s="410"/>
      <c r="K88" s="410"/>
      <c r="L88" s="410"/>
      <c r="M88" s="410"/>
      <c r="N88" s="410"/>
      <c r="O88" s="410"/>
      <c r="P88" s="410"/>
      <c r="Q88" s="410"/>
      <c r="R88" s="410"/>
      <c r="S88" s="410"/>
      <c r="T88" s="410"/>
      <c r="U88" s="410"/>
      <c r="V88" s="410"/>
      <c r="W88" s="410"/>
      <c r="X88" s="410"/>
      <c r="Y88" s="410"/>
      <c r="Z88" s="410"/>
      <c r="AA88" s="410"/>
      <c r="AB88" s="410"/>
      <c r="AC88" s="410"/>
      <c r="AD88" s="410"/>
      <c r="AE88" s="410"/>
      <c r="AF88" s="410"/>
      <c r="AG88" s="410"/>
      <c r="AH88" s="410"/>
    </row>
    <row r="89" spans="1:34">
      <c r="A89" s="410"/>
      <c r="B89" s="410"/>
      <c r="C89" s="410"/>
      <c r="D89" s="410"/>
      <c r="E89" s="410"/>
      <c r="F89" s="410"/>
      <c r="G89" s="410"/>
      <c r="H89" s="410"/>
      <c r="I89" s="410"/>
      <c r="J89" s="410"/>
      <c r="K89" s="410"/>
      <c r="L89" s="410"/>
      <c r="M89" s="410"/>
      <c r="N89" s="410"/>
      <c r="O89" s="410"/>
      <c r="P89" s="410"/>
      <c r="Q89" s="410"/>
      <c r="R89" s="410"/>
      <c r="S89" s="410"/>
      <c r="T89" s="410"/>
      <c r="U89" s="410"/>
      <c r="V89" s="410"/>
      <c r="W89" s="410"/>
      <c r="X89" s="410"/>
      <c r="Y89" s="410"/>
      <c r="Z89" s="410"/>
      <c r="AA89" s="410"/>
      <c r="AB89" s="410"/>
      <c r="AC89" s="410"/>
      <c r="AD89" s="410"/>
      <c r="AE89" s="410"/>
      <c r="AF89" s="410"/>
      <c r="AG89" s="410"/>
      <c r="AH89" s="410"/>
    </row>
    <row r="90" spans="1:34">
      <c r="A90" s="410"/>
      <c r="B90" s="410"/>
      <c r="C90" s="410"/>
      <c r="D90" s="410"/>
      <c r="E90" s="410"/>
      <c r="F90" s="410"/>
      <c r="G90" s="410"/>
      <c r="H90" s="410"/>
      <c r="I90" s="410"/>
      <c r="J90" s="410"/>
      <c r="K90" s="410"/>
      <c r="L90" s="410"/>
      <c r="M90" s="410"/>
      <c r="N90" s="410"/>
      <c r="O90" s="410"/>
      <c r="P90" s="410"/>
      <c r="Q90" s="410"/>
      <c r="R90" s="410"/>
      <c r="S90" s="410"/>
      <c r="T90" s="410"/>
      <c r="U90" s="410"/>
      <c r="V90" s="410"/>
      <c r="W90" s="410"/>
      <c r="X90" s="410"/>
      <c r="Y90" s="410"/>
      <c r="Z90" s="410"/>
      <c r="AA90" s="410"/>
      <c r="AB90" s="410"/>
      <c r="AC90" s="410"/>
      <c r="AD90" s="410"/>
      <c r="AE90" s="410"/>
      <c r="AF90" s="410"/>
      <c r="AG90" s="410"/>
      <c r="AH90" s="410"/>
    </row>
    <row r="91" spans="1:34">
      <c r="A91" s="410"/>
      <c r="B91" s="410"/>
      <c r="C91" s="410"/>
      <c r="D91" s="410"/>
      <c r="E91" s="410"/>
      <c r="F91" s="410"/>
      <c r="G91" s="410"/>
      <c r="H91" s="410"/>
      <c r="I91" s="410"/>
      <c r="J91" s="410"/>
      <c r="K91" s="410"/>
      <c r="L91" s="410"/>
      <c r="M91" s="410"/>
      <c r="N91" s="410"/>
      <c r="O91" s="410"/>
      <c r="P91" s="410"/>
      <c r="Q91" s="410"/>
      <c r="R91" s="410"/>
      <c r="S91" s="410"/>
      <c r="T91" s="410"/>
      <c r="U91" s="410"/>
      <c r="V91" s="410"/>
      <c r="W91" s="410"/>
      <c r="X91" s="410"/>
      <c r="Y91" s="410"/>
      <c r="Z91" s="410"/>
      <c r="AA91" s="410"/>
      <c r="AB91" s="410"/>
      <c r="AC91" s="410"/>
      <c r="AD91" s="410"/>
      <c r="AE91" s="410"/>
      <c r="AF91" s="410"/>
      <c r="AG91" s="410"/>
      <c r="AH91" s="410"/>
    </row>
    <row r="92" spans="1:34">
      <c r="A92" s="410"/>
      <c r="B92" s="410"/>
      <c r="C92" s="410"/>
      <c r="D92" s="410"/>
      <c r="E92" s="410"/>
      <c r="F92" s="410"/>
      <c r="G92" s="410"/>
      <c r="H92" s="410"/>
      <c r="I92" s="410"/>
      <c r="J92" s="410"/>
      <c r="K92" s="410"/>
      <c r="L92" s="410"/>
      <c r="M92" s="410"/>
      <c r="N92" s="410"/>
      <c r="O92" s="410"/>
      <c r="P92" s="410"/>
      <c r="Q92" s="410"/>
      <c r="R92" s="410"/>
      <c r="S92" s="410"/>
      <c r="T92" s="410"/>
      <c r="U92" s="410"/>
      <c r="V92" s="410"/>
      <c r="W92" s="410"/>
      <c r="X92" s="410"/>
      <c r="Y92" s="410"/>
      <c r="Z92" s="410"/>
      <c r="AA92" s="410"/>
      <c r="AB92" s="410"/>
      <c r="AC92" s="410"/>
      <c r="AD92" s="410"/>
      <c r="AE92" s="410"/>
      <c r="AF92" s="410"/>
      <c r="AG92" s="410"/>
      <c r="AH92" s="410"/>
    </row>
    <row r="93" spans="1:34">
      <c r="A93" s="410"/>
      <c r="B93" s="410"/>
      <c r="C93" s="410"/>
      <c r="D93" s="410"/>
      <c r="E93" s="410"/>
      <c r="F93" s="410"/>
      <c r="G93" s="410"/>
      <c r="H93" s="410"/>
      <c r="I93" s="410"/>
      <c r="J93" s="410"/>
      <c r="K93" s="410"/>
      <c r="L93" s="410"/>
      <c r="M93" s="410"/>
      <c r="N93" s="410"/>
      <c r="O93" s="410"/>
      <c r="P93" s="410"/>
      <c r="Q93" s="410"/>
      <c r="R93" s="410"/>
      <c r="S93" s="410"/>
      <c r="T93" s="410"/>
      <c r="U93" s="410"/>
      <c r="V93" s="410"/>
      <c r="W93" s="410"/>
      <c r="X93" s="410"/>
      <c r="Y93" s="410"/>
      <c r="Z93" s="410"/>
      <c r="AA93" s="410"/>
      <c r="AB93" s="410"/>
      <c r="AC93" s="410"/>
      <c r="AD93" s="410"/>
      <c r="AE93" s="410"/>
      <c r="AF93" s="410"/>
      <c r="AG93" s="410"/>
      <c r="AH93" s="410"/>
    </row>
    <row r="94" spans="1:34">
      <c r="A94" s="410"/>
      <c r="B94" s="410"/>
      <c r="C94" s="410"/>
      <c r="D94" s="410"/>
      <c r="E94" s="410"/>
      <c r="F94" s="410"/>
      <c r="G94" s="410"/>
      <c r="H94" s="410"/>
      <c r="I94" s="410"/>
      <c r="J94" s="410"/>
      <c r="K94" s="410"/>
      <c r="L94" s="410"/>
      <c r="M94" s="410"/>
      <c r="N94" s="410"/>
      <c r="O94" s="410"/>
      <c r="P94" s="410"/>
      <c r="Q94" s="410"/>
      <c r="R94" s="410"/>
      <c r="S94" s="410"/>
      <c r="T94" s="410"/>
      <c r="U94" s="410"/>
      <c r="V94" s="410"/>
      <c r="W94" s="410"/>
      <c r="X94" s="410"/>
      <c r="Y94" s="410"/>
      <c r="Z94" s="410"/>
      <c r="AA94" s="410"/>
      <c r="AB94" s="410"/>
      <c r="AC94" s="410"/>
      <c r="AD94" s="410"/>
      <c r="AE94" s="410"/>
      <c r="AF94" s="410"/>
      <c r="AG94" s="410"/>
      <c r="AH94" s="410"/>
    </row>
    <row r="95" spans="1:34">
      <c r="A95" s="410"/>
      <c r="B95" s="410"/>
      <c r="C95" s="410"/>
      <c r="D95" s="410"/>
      <c r="E95" s="410"/>
      <c r="F95" s="410"/>
      <c r="G95" s="410"/>
      <c r="H95" s="410"/>
      <c r="I95" s="410"/>
      <c r="J95" s="410"/>
      <c r="K95" s="410"/>
      <c r="L95" s="410"/>
      <c r="M95" s="410"/>
      <c r="N95" s="410"/>
      <c r="O95" s="410"/>
      <c r="P95" s="410"/>
      <c r="Q95" s="410"/>
      <c r="R95" s="410"/>
      <c r="S95" s="410"/>
      <c r="T95" s="410"/>
      <c r="U95" s="410"/>
      <c r="V95" s="410"/>
      <c r="W95" s="410"/>
      <c r="X95" s="410"/>
      <c r="Y95" s="410"/>
      <c r="Z95" s="410"/>
      <c r="AA95" s="410"/>
      <c r="AB95" s="410"/>
      <c r="AC95" s="410"/>
      <c r="AD95" s="410"/>
      <c r="AE95" s="410"/>
      <c r="AF95" s="410"/>
      <c r="AG95" s="410"/>
      <c r="AH95" s="410"/>
    </row>
    <row r="96" spans="1:34">
      <c r="A96" s="410"/>
      <c r="B96" s="410"/>
      <c r="C96" s="410"/>
      <c r="D96" s="410"/>
      <c r="E96" s="410"/>
      <c r="F96" s="410"/>
      <c r="G96" s="410"/>
      <c r="H96" s="410"/>
      <c r="I96" s="410"/>
      <c r="J96" s="410"/>
      <c r="K96" s="410"/>
      <c r="L96" s="410"/>
      <c r="M96" s="410"/>
      <c r="N96" s="410"/>
      <c r="O96" s="410"/>
      <c r="P96" s="410"/>
      <c r="Q96" s="410"/>
      <c r="R96" s="410"/>
      <c r="S96" s="410"/>
      <c r="T96" s="410"/>
      <c r="U96" s="410"/>
      <c r="V96" s="410"/>
      <c r="W96" s="410"/>
      <c r="X96" s="410"/>
      <c r="Y96" s="410"/>
      <c r="Z96" s="410"/>
      <c r="AA96" s="410"/>
      <c r="AB96" s="410"/>
      <c r="AC96" s="410"/>
      <c r="AD96" s="410"/>
      <c r="AE96" s="410"/>
      <c r="AF96" s="410"/>
      <c r="AG96" s="410"/>
      <c r="AH96" s="410"/>
    </row>
    <row r="97" spans="1:34">
      <c r="A97" s="410"/>
      <c r="B97" s="410"/>
      <c r="C97" s="410"/>
      <c r="D97" s="410"/>
      <c r="E97" s="410"/>
      <c r="F97" s="410"/>
      <c r="G97" s="410"/>
      <c r="H97" s="410"/>
      <c r="I97" s="410"/>
      <c r="J97" s="410"/>
      <c r="K97" s="410"/>
      <c r="L97" s="410"/>
      <c r="M97" s="410"/>
      <c r="N97" s="410"/>
      <c r="O97" s="410"/>
      <c r="P97" s="410"/>
      <c r="Q97" s="410"/>
      <c r="R97" s="410"/>
      <c r="S97" s="410"/>
      <c r="T97" s="410"/>
      <c r="U97" s="410"/>
      <c r="V97" s="410"/>
      <c r="W97" s="410"/>
      <c r="X97" s="410"/>
      <c r="Y97" s="410"/>
      <c r="Z97" s="410"/>
      <c r="AA97" s="410"/>
      <c r="AB97" s="410"/>
      <c r="AC97" s="410"/>
      <c r="AD97" s="410"/>
      <c r="AE97" s="410"/>
      <c r="AF97" s="410"/>
      <c r="AG97" s="410"/>
      <c r="AH97" s="410"/>
    </row>
    <row r="98" spans="1:34">
      <c r="A98" s="410"/>
      <c r="B98" s="410"/>
      <c r="C98" s="410"/>
      <c r="D98" s="410"/>
      <c r="E98" s="410"/>
      <c r="F98" s="410"/>
      <c r="G98" s="410"/>
      <c r="H98" s="410"/>
      <c r="I98" s="410"/>
      <c r="J98" s="410"/>
      <c r="K98" s="410"/>
      <c r="L98" s="410"/>
      <c r="M98" s="410"/>
      <c r="N98" s="410"/>
      <c r="O98" s="410"/>
      <c r="P98" s="410"/>
      <c r="Q98" s="410"/>
      <c r="R98" s="410"/>
      <c r="S98" s="410"/>
      <c r="T98" s="410"/>
      <c r="U98" s="410"/>
      <c r="V98" s="410"/>
      <c r="W98" s="410"/>
      <c r="X98" s="410"/>
      <c r="Y98" s="410"/>
      <c r="Z98" s="410"/>
      <c r="AA98" s="410"/>
      <c r="AB98" s="410"/>
      <c r="AC98" s="410"/>
      <c r="AD98" s="410"/>
      <c r="AE98" s="410"/>
      <c r="AF98" s="410"/>
      <c r="AG98" s="410"/>
      <c r="AH98" s="410"/>
    </row>
    <row r="99" spans="1:34">
      <c r="A99" s="410"/>
      <c r="B99" s="410"/>
      <c r="C99" s="410"/>
      <c r="D99" s="410"/>
      <c r="E99" s="410"/>
      <c r="F99" s="410"/>
      <c r="G99" s="410"/>
      <c r="H99" s="410"/>
      <c r="I99" s="410"/>
      <c r="J99" s="410"/>
      <c r="K99" s="410"/>
      <c r="L99" s="410"/>
      <c r="M99" s="410"/>
      <c r="N99" s="410"/>
      <c r="O99" s="410"/>
      <c r="P99" s="410"/>
      <c r="Q99" s="410"/>
      <c r="R99" s="410"/>
      <c r="S99" s="410"/>
      <c r="T99" s="410"/>
      <c r="U99" s="410"/>
      <c r="V99" s="410"/>
      <c r="W99" s="410"/>
      <c r="X99" s="410"/>
      <c r="Y99" s="410"/>
      <c r="Z99" s="410"/>
      <c r="AA99" s="410"/>
      <c r="AB99" s="410"/>
      <c r="AC99" s="410"/>
      <c r="AD99" s="410"/>
      <c r="AE99" s="410"/>
      <c r="AF99" s="410"/>
      <c r="AG99" s="410"/>
      <c r="AH99" s="410"/>
    </row>
    <row r="100" spans="1:34">
      <c r="A100" s="410"/>
      <c r="B100" s="410"/>
      <c r="C100" s="410"/>
      <c r="D100" s="410"/>
      <c r="E100" s="410"/>
      <c r="F100" s="410"/>
      <c r="G100" s="410"/>
      <c r="H100" s="410"/>
      <c r="I100" s="410"/>
      <c r="J100" s="410"/>
      <c r="K100" s="410"/>
      <c r="L100" s="410"/>
      <c r="M100" s="410"/>
      <c r="N100" s="410"/>
      <c r="O100" s="410"/>
      <c r="P100" s="410"/>
      <c r="Q100" s="410"/>
      <c r="R100" s="410"/>
      <c r="S100" s="410"/>
      <c r="T100" s="410"/>
      <c r="U100" s="410"/>
      <c r="V100" s="410"/>
      <c r="W100" s="410"/>
      <c r="X100" s="410"/>
      <c r="Y100" s="410"/>
      <c r="Z100" s="410"/>
      <c r="AA100" s="410"/>
      <c r="AB100" s="410"/>
      <c r="AC100" s="410"/>
      <c r="AD100" s="410"/>
      <c r="AE100" s="410"/>
      <c r="AF100" s="410"/>
      <c r="AG100" s="410"/>
      <c r="AH100" s="410"/>
    </row>
    <row r="101" spans="1:34">
      <c r="A101" s="410"/>
      <c r="B101" s="410"/>
      <c r="C101" s="410"/>
      <c r="D101" s="410"/>
      <c r="E101" s="410"/>
      <c r="F101" s="410"/>
      <c r="G101" s="410"/>
      <c r="H101" s="410"/>
      <c r="I101" s="410"/>
      <c r="J101" s="410"/>
      <c r="K101" s="410"/>
      <c r="L101" s="410"/>
      <c r="M101" s="410"/>
      <c r="N101" s="410"/>
      <c r="O101" s="410"/>
      <c r="P101" s="410"/>
      <c r="Q101" s="410"/>
      <c r="R101" s="410"/>
      <c r="S101" s="410"/>
      <c r="T101" s="410"/>
      <c r="U101" s="410"/>
      <c r="V101" s="410"/>
      <c r="W101" s="410"/>
      <c r="X101" s="410"/>
      <c r="Y101" s="410"/>
      <c r="Z101" s="410"/>
      <c r="AA101" s="410"/>
      <c r="AB101" s="410"/>
      <c r="AC101" s="410"/>
      <c r="AD101" s="410"/>
      <c r="AE101" s="410"/>
      <c r="AF101" s="410"/>
      <c r="AG101" s="410"/>
      <c r="AH101" s="410"/>
    </row>
    <row r="102" spans="1:34">
      <c r="A102" s="410"/>
      <c r="B102" s="410"/>
      <c r="C102" s="410"/>
      <c r="D102" s="410"/>
      <c r="E102" s="410"/>
      <c r="F102" s="410"/>
      <c r="G102" s="410"/>
      <c r="H102" s="410"/>
      <c r="I102" s="410"/>
      <c r="J102" s="410"/>
      <c r="K102" s="410"/>
      <c r="L102" s="410"/>
      <c r="M102" s="410"/>
      <c r="N102" s="410"/>
      <c r="O102" s="410"/>
      <c r="P102" s="410"/>
      <c r="Q102" s="410"/>
      <c r="R102" s="410"/>
      <c r="S102" s="410"/>
      <c r="T102" s="410"/>
      <c r="U102" s="410"/>
      <c r="V102" s="410"/>
      <c r="W102" s="410"/>
      <c r="X102" s="410"/>
      <c r="Y102" s="410"/>
      <c r="Z102" s="410"/>
      <c r="AA102" s="410"/>
      <c r="AB102" s="410"/>
      <c r="AC102" s="410"/>
      <c r="AD102" s="410"/>
      <c r="AE102" s="410"/>
      <c r="AF102" s="410"/>
      <c r="AG102" s="410"/>
      <c r="AH102" s="410"/>
    </row>
    <row r="103" spans="1:34">
      <c r="A103" s="410"/>
      <c r="B103" s="410"/>
      <c r="C103" s="410"/>
      <c r="D103" s="410"/>
      <c r="E103" s="410"/>
      <c r="F103" s="410"/>
      <c r="G103" s="410"/>
      <c r="H103" s="410"/>
      <c r="I103" s="410"/>
      <c r="J103" s="410"/>
      <c r="K103" s="410"/>
      <c r="L103" s="410"/>
      <c r="M103" s="410"/>
      <c r="N103" s="410"/>
      <c r="O103" s="410"/>
      <c r="P103" s="410"/>
      <c r="Q103" s="410"/>
      <c r="R103" s="410"/>
      <c r="S103" s="410"/>
      <c r="T103" s="410"/>
      <c r="U103" s="410"/>
      <c r="V103" s="410"/>
      <c r="W103" s="410"/>
      <c r="X103" s="410"/>
      <c r="Y103" s="410"/>
      <c r="Z103" s="410"/>
      <c r="AA103" s="410"/>
      <c r="AB103" s="410"/>
      <c r="AC103" s="410"/>
      <c r="AD103" s="410"/>
      <c r="AE103" s="410"/>
      <c r="AF103" s="410"/>
      <c r="AG103" s="410"/>
      <c r="AH103" s="410"/>
    </row>
    <row r="104" spans="1:34">
      <c r="A104" s="410"/>
      <c r="B104" s="410"/>
      <c r="C104" s="410"/>
      <c r="D104" s="410"/>
      <c r="E104" s="410"/>
      <c r="F104" s="410"/>
      <c r="G104" s="410"/>
      <c r="H104" s="410"/>
      <c r="I104" s="410"/>
      <c r="J104" s="410"/>
      <c r="K104" s="410"/>
      <c r="L104" s="410"/>
      <c r="M104" s="410"/>
      <c r="N104" s="410"/>
      <c r="O104" s="410"/>
      <c r="P104" s="410"/>
      <c r="Q104" s="410"/>
      <c r="R104" s="410"/>
      <c r="S104" s="410"/>
      <c r="T104" s="410"/>
      <c r="U104" s="410"/>
      <c r="V104" s="410"/>
      <c r="W104" s="410"/>
      <c r="X104" s="410"/>
      <c r="Y104" s="410"/>
      <c r="Z104" s="410"/>
      <c r="AA104" s="410"/>
      <c r="AB104" s="410"/>
      <c r="AC104" s="410"/>
      <c r="AD104" s="410"/>
      <c r="AE104" s="410"/>
      <c r="AF104" s="410"/>
      <c r="AG104" s="410"/>
      <c r="AH104" s="410"/>
    </row>
    <row r="105" spans="1:34">
      <c r="A105" s="410"/>
      <c r="B105" s="410"/>
      <c r="C105" s="410"/>
      <c r="D105" s="410"/>
      <c r="E105" s="410"/>
      <c r="F105" s="410"/>
      <c r="G105" s="410"/>
      <c r="H105" s="410"/>
      <c r="I105" s="410"/>
      <c r="J105" s="410"/>
      <c r="K105" s="410"/>
      <c r="L105" s="410"/>
      <c r="M105" s="410"/>
      <c r="N105" s="410"/>
      <c r="O105" s="410"/>
      <c r="P105" s="410"/>
      <c r="Q105" s="410"/>
      <c r="R105" s="410"/>
      <c r="S105" s="410"/>
      <c r="T105" s="410"/>
      <c r="U105" s="410"/>
      <c r="V105" s="410"/>
      <c r="W105" s="410"/>
      <c r="X105" s="410"/>
      <c r="Y105" s="410"/>
      <c r="Z105" s="410"/>
      <c r="AA105" s="410"/>
      <c r="AB105" s="410"/>
      <c r="AC105" s="410"/>
      <c r="AD105" s="410"/>
      <c r="AE105" s="410"/>
      <c r="AF105" s="410"/>
      <c r="AG105" s="410"/>
      <c r="AH105" s="410"/>
    </row>
    <row r="106" spans="1:34">
      <c r="A106" s="410"/>
      <c r="B106" s="410"/>
      <c r="C106" s="410"/>
      <c r="D106" s="410"/>
      <c r="E106" s="410"/>
      <c r="F106" s="410"/>
      <c r="G106" s="410"/>
      <c r="H106" s="410"/>
      <c r="I106" s="410"/>
      <c r="J106" s="410"/>
      <c r="K106" s="410"/>
      <c r="L106" s="410"/>
      <c r="M106" s="410"/>
      <c r="N106" s="410"/>
      <c r="O106" s="410"/>
      <c r="P106" s="410"/>
      <c r="Q106" s="410"/>
      <c r="R106" s="410"/>
      <c r="S106" s="410"/>
      <c r="T106" s="410"/>
      <c r="U106" s="410"/>
      <c r="V106" s="410"/>
      <c r="W106" s="410"/>
      <c r="X106" s="410"/>
      <c r="Y106" s="410"/>
      <c r="Z106" s="410"/>
      <c r="AA106" s="410"/>
      <c r="AB106" s="410"/>
      <c r="AC106" s="410"/>
      <c r="AD106" s="410"/>
      <c r="AE106" s="410"/>
      <c r="AF106" s="410"/>
      <c r="AG106" s="410"/>
      <c r="AH106" s="410"/>
    </row>
    <row r="107" spans="1:34">
      <c r="A107" s="410"/>
      <c r="B107" s="410"/>
      <c r="C107" s="410"/>
      <c r="D107" s="410"/>
      <c r="E107" s="410"/>
      <c r="F107" s="410"/>
      <c r="G107" s="410"/>
      <c r="H107" s="410"/>
      <c r="I107" s="410"/>
      <c r="J107" s="410"/>
      <c r="K107" s="410"/>
      <c r="L107" s="410"/>
      <c r="M107" s="410"/>
      <c r="N107" s="410"/>
      <c r="O107" s="410"/>
      <c r="P107" s="410"/>
      <c r="Q107" s="410"/>
      <c r="R107" s="410"/>
      <c r="S107" s="410"/>
      <c r="T107" s="410"/>
      <c r="U107" s="410"/>
      <c r="V107" s="410"/>
      <c r="W107" s="410"/>
      <c r="X107" s="410"/>
      <c r="Y107" s="410"/>
      <c r="Z107" s="410"/>
      <c r="AA107" s="410"/>
      <c r="AB107" s="410"/>
      <c r="AC107" s="410"/>
      <c r="AD107" s="410"/>
      <c r="AE107" s="410"/>
      <c r="AF107" s="410"/>
      <c r="AG107" s="410"/>
      <c r="AH107" s="410"/>
    </row>
    <row r="108" spans="1:34">
      <c r="A108" s="410"/>
      <c r="B108" s="410"/>
      <c r="C108" s="410"/>
      <c r="D108" s="410"/>
      <c r="E108" s="410"/>
      <c r="F108" s="410"/>
      <c r="G108" s="410"/>
      <c r="H108" s="410"/>
      <c r="I108" s="410"/>
      <c r="J108" s="410"/>
      <c r="K108" s="410"/>
      <c r="L108" s="410"/>
      <c r="M108" s="410"/>
      <c r="N108" s="410"/>
      <c r="O108" s="410"/>
      <c r="P108" s="410"/>
      <c r="Q108" s="410"/>
      <c r="R108" s="410"/>
      <c r="S108" s="410"/>
      <c r="T108" s="410"/>
      <c r="U108" s="410"/>
      <c r="V108" s="410"/>
      <c r="W108" s="410"/>
      <c r="X108" s="410"/>
      <c r="Y108" s="410"/>
      <c r="Z108" s="410"/>
      <c r="AA108" s="410"/>
      <c r="AB108" s="410"/>
      <c r="AC108" s="410"/>
      <c r="AD108" s="410"/>
      <c r="AE108" s="410"/>
      <c r="AF108" s="410"/>
      <c r="AG108" s="410"/>
      <c r="AH108" s="410"/>
    </row>
    <row r="109" spans="1:34">
      <c r="A109" s="410"/>
      <c r="B109" s="410"/>
      <c r="C109" s="410"/>
      <c r="D109" s="410"/>
      <c r="E109" s="410"/>
      <c r="F109" s="410"/>
      <c r="G109" s="410"/>
      <c r="H109" s="410"/>
      <c r="I109" s="410"/>
      <c r="J109" s="410"/>
      <c r="K109" s="410"/>
      <c r="L109" s="410"/>
      <c r="M109" s="410"/>
      <c r="N109" s="410"/>
      <c r="O109" s="410"/>
      <c r="P109" s="410"/>
      <c r="Q109" s="410"/>
      <c r="R109" s="410"/>
      <c r="S109" s="410"/>
      <c r="T109" s="410"/>
      <c r="U109" s="410"/>
      <c r="V109" s="410"/>
      <c r="W109" s="410"/>
      <c r="X109" s="410"/>
      <c r="Y109" s="410"/>
      <c r="Z109" s="410"/>
      <c r="AA109" s="410"/>
      <c r="AB109" s="410"/>
      <c r="AC109" s="410"/>
      <c r="AD109" s="410"/>
      <c r="AE109" s="410"/>
      <c r="AF109" s="410"/>
      <c r="AG109" s="410"/>
      <c r="AH109" s="410"/>
    </row>
    <row r="110" spans="1:34">
      <c r="A110" s="410"/>
      <c r="B110" s="410"/>
      <c r="C110" s="410"/>
      <c r="D110" s="410"/>
      <c r="E110" s="410"/>
      <c r="F110" s="410"/>
      <c r="G110" s="410"/>
      <c r="H110" s="410"/>
      <c r="I110" s="410"/>
      <c r="J110" s="410"/>
      <c r="K110" s="410"/>
      <c r="L110" s="410"/>
      <c r="M110" s="410"/>
      <c r="N110" s="410"/>
      <c r="O110" s="410"/>
      <c r="P110" s="410"/>
      <c r="Q110" s="410"/>
      <c r="R110" s="410"/>
      <c r="S110" s="410"/>
      <c r="T110" s="410"/>
      <c r="U110" s="410"/>
      <c r="V110" s="410"/>
      <c r="W110" s="410"/>
      <c r="X110" s="410"/>
      <c r="Y110" s="410"/>
      <c r="Z110" s="410"/>
      <c r="AA110" s="410"/>
      <c r="AB110" s="410"/>
      <c r="AC110" s="410"/>
      <c r="AD110" s="410"/>
      <c r="AE110" s="410"/>
      <c r="AF110" s="410"/>
      <c r="AG110" s="410"/>
      <c r="AH110" s="410"/>
    </row>
    <row r="111" spans="1:34">
      <c r="A111" s="410"/>
      <c r="B111" s="410"/>
      <c r="C111" s="410"/>
      <c r="D111" s="410"/>
      <c r="E111" s="410"/>
      <c r="F111" s="410"/>
      <c r="G111" s="410"/>
      <c r="H111" s="410"/>
      <c r="I111" s="410"/>
      <c r="J111" s="410"/>
      <c r="K111" s="410"/>
      <c r="L111" s="410"/>
      <c r="M111" s="410"/>
      <c r="N111" s="410"/>
      <c r="O111" s="410"/>
      <c r="P111" s="410"/>
      <c r="Q111" s="410"/>
      <c r="R111" s="410"/>
      <c r="S111" s="410"/>
      <c r="T111" s="410"/>
      <c r="U111" s="410"/>
      <c r="V111" s="410"/>
      <c r="W111" s="410"/>
      <c r="X111" s="410"/>
      <c r="Y111" s="410"/>
      <c r="Z111" s="410"/>
      <c r="AA111" s="410"/>
      <c r="AB111" s="410"/>
      <c r="AC111" s="410"/>
      <c r="AD111" s="410"/>
      <c r="AE111" s="410"/>
      <c r="AF111" s="410"/>
      <c r="AG111" s="410"/>
      <c r="AH111" s="410"/>
    </row>
    <row r="112" spans="1:34">
      <c r="A112" s="410"/>
      <c r="B112" s="410"/>
      <c r="C112" s="410"/>
      <c r="D112" s="410"/>
      <c r="E112" s="410"/>
      <c r="F112" s="410"/>
      <c r="G112" s="410"/>
      <c r="H112" s="410"/>
      <c r="I112" s="410"/>
      <c r="J112" s="410"/>
      <c r="K112" s="410"/>
      <c r="L112" s="410"/>
      <c r="M112" s="410"/>
      <c r="N112" s="410"/>
      <c r="O112" s="410"/>
      <c r="P112" s="410"/>
      <c r="Q112" s="410"/>
      <c r="R112" s="410"/>
      <c r="S112" s="410"/>
      <c r="T112" s="410"/>
      <c r="U112" s="410"/>
      <c r="V112" s="410"/>
      <c r="W112" s="410"/>
      <c r="X112" s="410"/>
      <c r="Y112" s="410"/>
      <c r="Z112" s="410"/>
      <c r="AA112" s="410"/>
      <c r="AB112" s="410"/>
      <c r="AC112" s="410"/>
      <c r="AD112" s="410"/>
      <c r="AE112" s="410"/>
      <c r="AF112" s="410"/>
      <c r="AG112" s="410"/>
      <c r="AH112" s="410"/>
    </row>
    <row r="113" spans="1:34">
      <c r="A113" s="410"/>
      <c r="B113" s="410"/>
      <c r="C113" s="410"/>
      <c r="D113" s="410"/>
      <c r="E113" s="410"/>
      <c r="F113" s="410"/>
      <c r="G113" s="410"/>
      <c r="H113" s="410"/>
      <c r="I113" s="410"/>
      <c r="J113" s="410"/>
      <c r="K113" s="410"/>
      <c r="L113" s="410"/>
      <c r="M113" s="410"/>
      <c r="N113" s="410"/>
      <c r="O113" s="410"/>
      <c r="P113" s="410"/>
      <c r="Q113" s="410"/>
      <c r="R113" s="410"/>
      <c r="S113" s="410"/>
      <c r="T113" s="410"/>
      <c r="U113" s="410"/>
      <c r="V113" s="410"/>
      <c r="W113" s="410"/>
      <c r="X113" s="410"/>
      <c r="Y113" s="410"/>
      <c r="Z113" s="410"/>
      <c r="AA113" s="410"/>
      <c r="AB113" s="410"/>
      <c r="AC113" s="410"/>
      <c r="AD113" s="410"/>
      <c r="AE113" s="410"/>
      <c r="AF113" s="410"/>
      <c r="AG113" s="410"/>
      <c r="AH113" s="410"/>
    </row>
    <row r="114" spans="1:34">
      <c r="A114" s="410"/>
      <c r="B114" s="410"/>
      <c r="C114" s="410"/>
      <c r="D114" s="410"/>
      <c r="E114" s="410"/>
      <c r="F114" s="410"/>
      <c r="G114" s="410"/>
      <c r="H114" s="410"/>
      <c r="I114" s="410"/>
      <c r="J114" s="410"/>
      <c r="K114" s="410"/>
      <c r="L114" s="410"/>
      <c r="M114" s="410"/>
      <c r="N114" s="410"/>
      <c r="O114" s="410"/>
      <c r="P114" s="410"/>
      <c r="Q114" s="410"/>
      <c r="R114" s="410"/>
      <c r="S114" s="410"/>
      <c r="T114" s="410"/>
      <c r="U114" s="410"/>
      <c r="V114" s="410"/>
      <c r="W114" s="410"/>
      <c r="X114" s="410"/>
      <c r="Y114" s="410"/>
      <c r="Z114" s="410"/>
      <c r="AA114" s="410"/>
      <c r="AB114" s="410"/>
      <c r="AC114" s="410"/>
      <c r="AD114" s="410"/>
      <c r="AE114" s="410"/>
      <c r="AF114" s="410"/>
      <c r="AG114" s="410"/>
      <c r="AH114" s="410"/>
    </row>
    <row r="115" spans="1:34">
      <c r="A115" s="410"/>
      <c r="B115" s="410"/>
      <c r="C115" s="410"/>
      <c r="D115" s="410"/>
      <c r="E115" s="410"/>
      <c r="F115" s="410"/>
      <c r="G115" s="410"/>
      <c r="H115" s="410"/>
      <c r="I115" s="410"/>
      <c r="J115" s="410"/>
      <c r="K115" s="410"/>
      <c r="L115" s="410"/>
      <c r="M115" s="410"/>
      <c r="N115" s="410"/>
      <c r="O115" s="410"/>
      <c r="P115" s="410"/>
      <c r="Q115" s="410"/>
      <c r="R115" s="410"/>
      <c r="S115" s="410"/>
      <c r="T115" s="410"/>
      <c r="U115" s="410"/>
      <c r="V115" s="410"/>
      <c r="W115" s="410"/>
      <c r="X115" s="410"/>
      <c r="Y115" s="410"/>
      <c r="Z115" s="410"/>
      <c r="AA115" s="410"/>
      <c r="AB115" s="410"/>
      <c r="AC115" s="410"/>
      <c r="AD115" s="410"/>
      <c r="AE115" s="410"/>
      <c r="AF115" s="410"/>
      <c r="AG115" s="410"/>
      <c r="AH115" s="410"/>
    </row>
    <row r="116" spans="1:34">
      <c r="A116" s="410"/>
      <c r="B116" s="410"/>
      <c r="C116" s="410"/>
      <c r="D116" s="410"/>
      <c r="E116" s="410"/>
      <c r="F116" s="410"/>
      <c r="G116" s="410"/>
      <c r="H116" s="410"/>
      <c r="I116" s="410"/>
      <c r="J116" s="410"/>
      <c r="K116" s="410"/>
      <c r="L116" s="410"/>
      <c r="M116" s="410"/>
      <c r="N116" s="410"/>
      <c r="O116" s="410"/>
      <c r="P116" s="410"/>
      <c r="Q116" s="410"/>
      <c r="R116" s="410"/>
      <c r="S116" s="410"/>
      <c r="T116" s="410"/>
      <c r="U116" s="410"/>
      <c r="V116" s="410"/>
      <c r="W116" s="410"/>
      <c r="X116" s="410"/>
      <c r="Y116" s="410"/>
      <c r="Z116" s="410"/>
      <c r="AA116" s="410"/>
      <c r="AB116" s="410"/>
      <c r="AC116" s="410"/>
      <c r="AD116" s="410"/>
      <c r="AE116" s="410"/>
      <c r="AF116" s="410"/>
      <c r="AG116" s="410"/>
      <c r="AH116" s="410"/>
    </row>
    <row r="117" spans="1:34">
      <c r="A117" s="410"/>
      <c r="B117" s="410"/>
      <c r="C117" s="410"/>
      <c r="D117" s="410"/>
      <c r="E117" s="410"/>
      <c r="F117" s="410"/>
      <c r="G117" s="410"/>
      <c r="H117" s="410"/>
      <c r="I117" s="410"/>
      <c r="J117" s="410"/>
      <c r="K117" s="410"/>
      <c r="L117" s="410"/>
      <c r="M117" s="410"/>
      <c r="N117" s="410"/>
      <c r="O117" s="410"/>
      <c r="P117" s="410"/>
      <c r="Q117" s="410"/>
      <c r="R117" s="410"/>
      <c r="S117" s="410"/>
      <c r="T117" s="410"/>
      <c r="U117" s="410"/>
      <c r="V117" s="410"/>
      <c r="W117" s="410"/>
      <c r="X117" s="410"/>
      <c r="Y117" s="410"/>
      <c r="Z117" s="410"/>
      <c r="AA117" s="410"/>
      <c r="AB117" s="410"/>
      <c r="AC117" s="410"/>
      <c r="AD117" s="410"/>
      <c r="AE117" s="410"/>
      <c r="AF117" s="410"/>
      <c r="AG117" s="410"/>
      <c r="AH117" s="410"/>
    </row>
    <row r="118" spans="1:34">
      <c r="A118" s="410"/>
      <c r="B118" s="410"/>
      <c r="C118" s="410"/>
      <c r="D118" s="410"/>
      <c r="E118" s="410"/>
      <c r="F118" s="410"/>
      <c r="G118" s="410"/>
      <c r="H118" s="410"/>
      <c r="I118" s="410"/>
      <c r="J118" s="410"/>
      <c r="K118" s="410"/>
      <c r="L118" s="410"/>
      <c r="M118" s="410"/>
      <c r="N118" s="410"/>
      <c r="O118" s="410"/>
      <c r="P118" s="410"/>
      <c r="Q118" s="410"/>
      <c r="R118" s="410"/>
      <c r="S118" s="410"/>
      <c r="T118" s="410"/>
      <c r="U118" s="410"/>
      <c r="V118" s="410"/>
      <c r="W118" s="410"/>
      <c r="X118" s="410"/>
      <c r="Y118" s="410"/>
      <c r="Z118" s="410"/>
      <c r="AA118" s="410"/>
      <c r="AB118" s="410"/>
      <c r="AC118" s="410"/>
      <c r="AD118" s="410"/>
      <c r="AE118" s="410"/>
      <c r="AF118" s="410"/>
      <c r="AG118" s="410"/>
      <c r="AH118" s="410"/>
    </row>
    <row r="119" spans="1:34">
      <c r="A119" s="410"/>
      <c r="B119" s="410"/>
      <c r="C119" s="410"/>
      <c r="D119" s="410"/>
      <c r="E119" s="410"/>
      <c r="F119" s="410"/>
      <c r="G119" s="410"/>
      <c r="H119" s="410"/>
      <c r="I119" s="410"/>
      <c r="J119" s="410"/>
      <c r="K119" s="410"/>
      <c r="L119" s="410"/>
      <c r="M119" s="410"/>
      <c r="N119" s="410"/>
      <c r="O119" s="410"/>
      <c r="P119" s="410"/>
      <c r="Q119" s="410"/>
      <c r="R119" s="410"/>
      <c r="S119" s="410"/>
      <c r="T119" s="410"/>
      <c r="U119" s="410"/>
      <c r="V119" s="410"/>
      <c r="W119" s="410"/>
      <c r="X119" s="410"/>
      <c r="Y119" s="410"/>
      <c r="Z119" s="410"/>
      <c r="AA119" s="410"/>
      <c r="AB119" s="410"/>
      <c r="AC119" s="410"/>
      <c r="AD119" s="410"/>
      <c r="AE119" s="410"/>
      <c r="AF119" s="410"/>
      <c r="AG119" s="410"/>
      <c r="AH119" s="410"/>
    </row>
    <row r="120" spans="1:34">
      <c r="A120" s="410"/>
      <c r="B120" s="410"/>
      <c r="C120" s="410"/>
      <c r="D120" s="410"/>
      <c r="E120" s="410"/>
      <c r="F120" s="410"/>
      <c r="G120" s="410"/>
      <c r="H120" s="410"/>
      <c r="I120" s="410"/>
      <c r="J120" s="410"/>
      <c r="K120" s="410"/>
      <c r="L120" s="410"/>
      <c r="M120" s="410"/>
      <c r="N120" s="410"/>
      <c r="O120" s="410"/>
      <c r="P120" s="410"/>
      <c r="Q120" s="410"/>
      <c r="R120" s="410"/>
      <c r="S120" s="410"/>
      <c r="T120" s="410"/>
      <c r="U120" s="410"/>
      <c r="V120" s="410"/>
      <c r="W120" s="410"/>
      <c r="X120" s="410"/>
      <c r="Y120" s="410"/>
      <c r="Z120" s="410"/>
      <c r="AA120" s="410"/>
      <c r="AB120" s="410"/>
      <c r="AC120" s="410"/>
      <c r="AD120" s="410"/>
      <c r="AE120" s="410"/>
      <c r="AF120" s="410"/>
      <c r="AG120" s="410"/>
      <c r="AH120" s="410"/>
    </row>
    <row r="121" spans="1:34">
      <c r="A121" s="410"/>
      <c r="B121" s="410"/>
      <c r="C121" s="410"/>
      <c r="D121" s="410"/>
      <c r="E121" s="410"/>
      <c r="F121" s="410"/>
      <c r="G121" s="410"/>
      <c r="H121" s="410"/>
      <c r="I121" s="410"/>
      <c r="J121" s="410"/>
      <c r="K121" s="410"/>
      <c r="L121" s="410"/>
      <c r="M121" s="410"/>
      <c r="N121" s="410"/>
      <c r="O121" s="410"/>
      <c r="P121" s="410"/>
      <c r="Q121" s="410"/>
      <c r="R121" s="410"/>
      <c r="S121" s="410"/>
      <c r="T121" s="410"/>
      <c r="U121" s="410"/>
      <c r="V121" s="410"/>
      <c r="W121" s="410"/>
      <c r="X121" s="410"/>
      <c r="Y121" s="410"/>
      <c r="Z121" s="410"/>
      <c r="AA121" s="410"/>
      <c r="AB121" s="410"/>
      <c r="AC121" s="410"/>
      <c r="AD121" s="410"/>
      <c r="AE121" s="410"/>
      <c r="AF121" s="410"/>
      <c r="AG121" s="410"/>
      <c r="AH121" s="410"/>
    </row>
    <row r="122" spans="1:34">
      <c r="A122" s="410"/>
      <c r="B122" s="410"/>
      <c r="C122" s="410"/>
      <c r="D122" s="410"/>
      <c r="E122" s="410"/>
      <c r="F122" s="410"/>
      <c r="G122" s="410"/>
      <c r="H122" s="410"/>
      <c r="I122" s="410"/>
      <c r="J122" s="410"/>
      <c r="K122" s="410"/>
      <c r="L122" s="410"/>
      <c r="M122" s="410"/>
      <c r="N122" s="410"/>
      <c r="O122" s="410"/>
      <c r="P122" s="410"/>
      <c r="Q122" s="410"/>
      <c r="R122" s="410"/>
      <c r="S122" s="410"/>
      <c r="T122" s="410"/>
      <c r="U122" s="410"/>
      <c r="V122" s="410"/>
      <c r="W122" s="410"/>
      <c r="X122" s="410"/>
      <c r="Y122" s="410"/>
      <c r="Z122" s="410"/>
      <c r="AA122" s="410"/>
      <c r="AB122" s="410"/>
      <c r="AC122" s="410"/>
      <c r="AD122" s="410"/>
      <c r="AE122" s="410"/>
      <c r="AF122" s="410"/>
      <c r="AG122" s="410"/>
      <c r="AH122" s="410"/>
    </row>
    <row r="123" spans="1:34">
      <c r="A123" s="410"/>
      <c r="B123" s="410"/>
      <c r="C123" s="410"/>
      <c r="D123" s="410"/>
      <c r="E123" s="410"/>
      <c r="F123" s="410"/>
      <c r="G123" s="410"/>
      <c r="H123" s="410"/>
      <c r="I123" s="410"/>
      <c r="J123" s="410"/>
      <c r="K123" s="410"/>
      <c r="L123" s="410"/>
      <c r="M123" s="410"/>
      <c r="N123" s="410"/>
      <c r="O123" s="410"/>
      <c r="P123" s="410"/>
      <c r="Q123" s="410"/>
      <c r="R123" s="410"/>
      <c r="S123" s="410"/>
      <c r="T123" s="410"/>
      <c r="U123" s="410"/>
      <c r="V123" s="410"/>
      <c r="W123" s="410"/>
      <c r="X123" s="410"/>
      <c r="Y123" s="410"/>
      <c r="Z123" s="410"/>
      <c r="AA123" s="410"/>
      <c r="AB123" s="410"/>
      <c r="AC123" s="410"/>
      <c r="AD123" s="410"/>
      <c r="AE123" s="410"/>
      <c r="AF123" s="410"/>
      <c r="AG123" s="410"/>
      <c r="AH123" s="410"/>
    </row>
    <row r="124" spans="1:34">
      <c r="A124" s="410"/>
      <c r="B124" s="410"/>
      <c r="C124" s="410"/>
      <c r="D124" s="410"/>
      <c r="E124" s="410"/>
      <c r="F124" s="410"/>
      <c r="G124" s="410"/>
      <c r="H124" s="410"/>
      <c r="I124" s="410"/>
      <c r="J124" s="410"/>
      <c r="K124" s="410"/>
      <c r="L124" s="410"/>
      <c r="M124" s="410"/>
      <c r="N124" s="410"/>
      <c r="O124" s="410"/>
      <c r="P124" s="410"/>
      <c r="Q124" s="410"/>
      <c r="R124" s="410"/>
      <c r="S124" s="410"/>
      <c r="T124" s="410"/>
      <c r="U124" s="410"/>
      <c r="V124" s="410"/>
      <c r="W124" s="410"/>
      <c r="X124" s="410"/>
      <c r="Y124" s="410"/>
      <c r="Z124" s="410"/>
      <c r="AA124" s="410"/>
      <c r="AB124" s="410"/>
      <c r="AC124" s="410"/>
      <c r="AD124" s="410"/>
      <c r="AE124" s="410"/>
      <c r="AF124" s="410"/>
      <c r="AG124" s="410"/>
      <c r="AH124" s="410"/>
    </row>
    <row r="125" spans="1:34">
      <c r="A125" s="410"/>
      <c r="B125" s="410"/>
      <c r="C125" s="410"/>
      <c r="D125" s="410"/>
      <c r="E125" s="410"/>
      <c r="F125" s="410"/>
      <c r="G125" s="410"/>
      <c r="H125" s="410"/>
      <c r="I125" s="410"/>
      <c r="J125" s="410"/>
      <c r="K125" s="410"/>
      <c r="L125" s="410"/>
      <c r="M125" s="410"/>
      <c r="N125" s="410"/>
      <c r="O125" s="410"/>
      <c r="P125" s="410"/>
      <c r="Q125" s="410"/>
      <c r="R125" s="410"/>
      <c r="S125" s="410"/>
      <c r="T125" s="410"/>
      <c r="U125" s="410"/>
      <c r="V125" s="410"/>
      <c r="W125" s="410"/>
      <c r="X125" s="410"/>
      <c r="Y125" s="410"/>
      <c r="Z125" s="410"/>
      <c r="AA125" s="410"/>
      <c r="AB125" s="410"/>
      <c r="AC125" s="410"/>
      <c r="AD125" s="410"/>
      <c r="AE125" s="410"/>
      <c r="AF125" s="410"/>
      <c r="AG125" s="410"/>
      <c r="AH125" s="410"/>
    </row>
    <row r="126" spans="1:34">
      <c r="A126" s="410"/>
      <c r="B126" s="410"/>
      <c r="C126" s="410"/>
      <c r="D126" s="410"/>
      <c r="E126" s="410"/>
      <c r="F126" s="410"/>
      <c r="G126" s="410"/>
      <c r="H126" s="410"/>
      <c r="I126" s="410"/>
      <c r="J126" s="410"/>
      <c r="K126" s="410"/>
      <c r="L126" s="410"/>
      <c r="M126" s="410"/>
      <c r="N126" s="410"/>
      <c r="O126" s="410"/>
      <c r="P126" s="410"/>
      <c r="Q126" s="410"/>
      <c r="R126" s="410"/>
      <c r="S126" s="410"/>
      <c r="T126" s="410"/>
      <c r="U126" s="410"/>
      <c r="V126" s="410"/>
      <c r="W126" s="410"/>
      <c r="X126" s="410"/>
      <c r="Y126" s="410"/>
      <c r="Z126" s="410"/>
      <c r="AA126" s="410"/>
      <c r="AB126" s="410"/>
      <c r="AC126" s="410"/>
      <c r="AD126" s="410"/>
      <c r="AE126" s="410"/>
      <c r="AF126" s="410"/>
      <c r="AG126" s="410"/>
      <c r="AH126" s="410"/>
    </row>
    <row r="127" spans="1:34">
      <c r="A127" s="410"/>
      <c r="B127" s="410"/>
      <c r="C127" s="410"/>
      <c r="D127" s="410"/>
      <c r="E127" s="410"/>
      <c r="F127" s="410"/>
      <c r="G127" s="410"/>
      <c r="H127" s="410"/>
      <c r="I127" s="410"/>
      <c r="J127" s="410"/>
      <c r="K127" s="410"/>
      <c r="L127" s="410"/>
      <c r="M127" s="410"/>
      <c r="N127" s="410"/>
      <c r="O127" s="410"/>
      <c r="P127" s="410"/>
      <c r="Q127" s="410"/>
      <c r="R127" s="410"/>
      <c r="S127" s="410"/>
      <c r="T127" s="410"/>
      <c r="U127" s="410"/>
      <c r="V127" s="410"/>
      <c r="W127" s="410"/>
      <c r="X127" s="410"/>
      <c r="Y127" s="410"/>
      <c r="Z127" s="410"/>
      <c r="AA127" s="410"/>
      <c r="AB127" s="410"/>
      <c r="AC127" s="410"/>
      <c r="AD127" s="410"/>
      <c r="AE127" s="410"/>
      <c r="AF127" s="410"/>
      <c r="AG127" s="410"/>
      <c r="AH127" s="410"/>
    </row>
    <row r="128" spans="1:34">
      <c r="A128" s="410"/>
      <c r="B128" s="410"/>
      <c r="C128" s="410"/>
      <c r="D128" s="410"/>
      <c r="E128" s="410"/>
      <c r="F128" s="410"/>
      <c r="G128" s="410"/>
      <c r="H128" s="410"/>
      <c r="I128" s="410"/>
      <c r="J128" s="410"/>
      <c r="K128" s="410"/>
      <c r="L128" s="410"/>
      <c r="M128" s="410"/>
      <c r="N128" s="410"/>
      <c r="O128" s="410"/>
      <c r="P128" s="410"/>
      <c r="Q128" s="410"/>
      <c r="R128" s="410"/>
      <c r="S128" s="410"/>
      <c r="T128" s="410"/>
      <c r="U128" s="410"/>
      <c r="V128" s="410"/>
      <c r="W128" s="410"/>
      <c r="X128" s="410"/>
      <c r="Y128" s="410"/>
      <c r="Z128" s="410"/>
      <c r="AA128" s="410"/>
      <c r="AB128" s="410"/>
      <c r="AC128" s="410"/>
      <c r="AD128" s="410"/>
      <c r="AE128" s="410"/>
      <c r="AF128" s="410"/>
      <c r="AG128" s="410"/>
      <c r="AH128" s="410"/>
    </row>
    <row r="129" spans="1:34">
      <c r="A129" s="410"/>
      <c r="B129" s="410"/>
      <c r="C129" s="410"/>
      <c r="D129" s="410"/>
      <c r="E129" s="410"/>
      <c r="F129" s="410"/>
      <c r="G129" s="410"/>
      <c r="H129" s="410"/>
      <c r="I129" s="410"/>
      <c r="J129" s="410"/>
      <c r="K129" s="410"/>
      <c r="L129" s="410"/>
      <c r="M129" s="410"/>
      <c r="N129" s="410"/>
      <c r="O129" s="410"/>
      <c r="P129" s="410"/>
      <c r="Q129" s="410"/>
      <c r="R129" s="410"/>
      <c r="S129" s="410"/>
      <c r="T129" s="410"/>
      <c r="U129" s="410"/>
      <c r="V129" s="410"/>
      <c r="W129" s="410"/>
      <c r="X129" s="410"/>
      <c r="Y129" s="410"/>
      <c r="Z129" s="410"/>
      <c r="AA129" s="410"/>
      <c r="AB129" s="410"/>
      <c r="AC129" s="410"/>
      <c r="AD129" s="410"/>
      <c r="AE129" s="410"/>
      <c r="AF129" s="410"/>
      <c r="AG129" s="410"/>
      <c r="AH129" s="410"/>
    </row>
    <row r="130" spans="1:34">
      <c r="A130" s="410"/>
      <c r="B130" s="410"/>
      <c r="C130" s="410"/>
      <c r="D130" s="410"/>
      <c r="E130" s="410"/>
      <c r="F130" s="410"/>
      <c r="G130" s="410"/>
      <c r="H130" s="410"/>
      <c r="I130" s="410"/>
      <c r="J130" s="410"/>
      <c r="K130" s="410"/>
      <c r="L130" s="410"/>
      <c r="M130" s="410"/>
      <c r="N130" s="410"/>
      <c r="O130" s="410"/>
      <c r="P130" s="410"/>
      <c r="Q130" s="410"/>
      <c r="R130" s="410"/>
      <c r="S130" s="410"/>
      <c r="T130" s="410"/>
      <c r="U130" s="410"/>
      <c r="V130" s="410"/>
      <c r="W130" s="410"/>
      <c r="X130" s="410"/>
      <c r="Y130" s="410"/>
      <c r="Z130" s="410"/>
      <c r="AA130" s="410"/>
      <c r="AB130" s="410"/>
      <c r="AC130" s="410"/>
      <c r="AD130" s="410"/>
      <c r="AE130" s="410"/>
      <c r="AF130" s="410"/>
      <c r="AG130" s="410"/>
      <c r="AH130" s="410"/>
    </row>
    <row r="131" spans="1:34">
      <c r="A131" s="410"/>
      <c r="B131" s="410"/>
      <c r="C131" s="410"/>
      <c r="D131" s="410"/>
      <c r="E131" s="410"/>
      <c r="F131" s="410"/>
      <c r="G131" s="410"/>
      <c r="H131" s="410"/>
      <c r="I131" s="410"/>
      <c r="J131" s="410"/>
      <c r="K131" s="410"/>
      <c r="L131" s="410"/>
      <c r="M131" s="410"/>
      <c r="N131" s="410"/>
      <c r="O131" s="410"/>
      <c r="P131" s="410"/>
      <c r="Q131" s="410"/>
      <c r="R131" s="410"/>
      <c r="S131" s="410"/>
      <c r="T131" s="410"/>
      <c r="U131" s="410"/>
      <c r="V131" s="410"/>
      <c r="W131" s="410"/>
      <c r="X131" s="410"/>
      <c r="Y131" s="410"/>
      <c r="Z131" s="410"/>
      <c r="AA131" s="410"/>
      <c r="AB131" s="410"/>
      <c r="AC131" s="410"/>
      <c r="AD131" s="410"/>
      <c r="AE131" s="410"/>
      <c r="AF131" s="410"/>
      <c r="AG131" s="410"/>
      <c r="AH131" s="410"/>
    </row>
    <row r="132" spans="1:34">
      <c r="A132" s="410"/>
      <c r="B132" s="410"/>
      <c r="C132" s="410"/>
      <c r="D132" s="410"/>
      <c r="E132" s="410"/>
      <c r="F132" s="410"/>
      <c r="G132" s="410"/>
      <c r="H132" s="410"/>
      <c r="I132" s="410"/>
      <c r="J132" s="410"/>
      <c r="K132" s="410"/>
      <c r="L132" s="410"/>
      <c r="M132" s="410"/>
      <c r="N132" s="410"/>
      <c r="O132" s="410"/>
      <c r="P132" s="410"/>
      <c r="Q132" s="410"/>
      <c r="R132" s="410"/>
      <c r="S132" s="410"/>
      <c r="T132" s="410"/>
      <c r="U132" s="410"/>
      <c r="V132" s="410"/>
      <c r="W132" s="410"/>
      <c r="X132" s="410"/>
      <c r="Y132" s="410"/>
      <c r="Z132" s="410"/>
      <c r="AA132" s="410"/>
      <c r="AB132" s="410"/>
      <c r="AC132" s="410"/>
      <c r="AD132" s="410"/>
      <c r="AE132" s="410"/>
      <c r="AF132" s="410"/>
      <c r="AG132" s="410"/>
      <c r="AH132" s="410"/>
    </row>
    <row r="133" spans="1:34">
      <c r="A133" s="410"/>
      <c r="B133" s="410"/>
      <c r="C133" s="410"/>
      <c r="D133" s="410"/>
      <c r="E133" s="410"/>
      <c r="F133" s="410"/>
      <c r="G133" s="410"/>
      <c r="H133" s="410"/>
      <c r="I133" s="410"/>
      <c r="J133" s="410"/>
      <c r="K133" s="410"/>
      <c r="L133" s="410"/>
      <c r="M133" s="410"/>
      <c r="N133" s="410"/>
      <c r="O133" s="410"/>
      <c r="P133" s="410"/>
      <c r="Q133" s="410"/>
      <c r="R133" s="410"/>
      <c r="S133" s="410"/>
      <c r="T133" s="410"/>
      <c r="U133" s="410"/>
      <c r="V133" s="410"/>
      <c r="W133" s="410"/>
      <c r="X133" s="410"/>
      <c r="Y133" s="410"/>
      <c r="Z133" s="410"/>
      <c r="AA133" s="410"/>
      <c r="AB133" s="410"/>
      <c r="AC133" s="410"/>
      <c r="AD133" s="410"/>
      <c r="AE133" s="410"/>
      <c r="AF133" s="410"/>
      <c r="AG133" s="410"/>
      <c r="AH133" s="410"/>
    </row>
    <row r="134" spans="1:34">
      <c r="A134" s="410"/>
      <c r="B134" s="410"/>
      <c r="C134" s="410"/>
      <c r="D134" s="410"/>
      <c r="E134" s="410"/>
      <c r="F134" s="410"/>
      <c r="G134" s="410"/>
      <c r="H134" s="410"/>
      <c r="I134" s="410"/>
      <c r="J134" s="410"/>
      <c r="K134" s="410"/>
      <c r="L134" s="410"/>
      <c r="M134" s="410"/>
      <c r="N134" s="410"/>
      <c r="O134" s="410"/>
      <c r="P134" s="410"/>
      <c r="Q134" s="410"/>
      <c r="R134" s="410"/>
      <c r="S134" s="410"/>
      <c r="T134" s="410"/>
      <c r="U134" s="410"/>
      <c r="V134" s="410"/>
      <c r="W134" s="410"/>
      <c r="X134" s="410"/>
      <c r="Y134" s="410"/>
      <c r="Z134" s="410"/>
      <c r="AA134" s="410"/>
      <c r="AB134" s="410"/>
      <c r="AC134" s="410"/>
      <c r="AD134" s="410"/>
      <c r="AE134" s="410"/>
      <c r="AF134" s="410"/>
      <c r="AG134" s="410"/>
      <c r="AH134" s="410"/>
    </row>
    <row r="135" spans="1:34">
      <c r="A135" s="410"/>
      <c r="B135" s="410"/>
      <c r="C135" s="410"/>
      <c r="D135" s="410"/>
      <c r="E135" s="410"/>
      <c r="F135" s="410"/>
      <c r="G135" s="410"/>
      <c r="H135" s="410"/>
      <c r="I135" s="410"/>
      <c r="J135" s="410"/>
      <c r="K135" s="410"/>
      <c r="L135" s="410"/>
      <c r="M135" s="410"/>
      <c r="N135" s="410"/>
      <c r="O135" s="410"/>
      <c r="P135" s="410"/>
      <c r="Q135" s="410"/>
      <c r="R135" s="410"/>
      <c r="S135" s="410"/>
      <c r="T135" s="410"/>
      <c r="U135" s="410"/>
      <c r="V135" s="410"/>
      <c r="W135" s="410"/>
      <c r="X135" s="410"/>
      <c r="Y135" s="410"/>
      <c r="Z135" s="410"/>
      <c r="AA135" s="410"/>
      <c r="AB135" s="410"/>
      <c r="AC135" s="410"/>
      <c r="AD135" s="410"/>
      <c r="AE135" s="410"/>
      <c r="AF135" s="410"/>
      <c r="AG135" s="410"/>
      <c r="AH135" s="410"/>
    </row>
    <row r="136" spans="1:34">
      <c r="A136" s="410"/>
      <c r="B136" s="410"/>
      <c r="C136" s="410"/>
      <c r="D136" s="410"/>
      <c r="E136" s="410"/>
      <c r="F136" s="410"/>
      <c r="G136" s="410"/>
      <c r="H136" s="410"/>
      <c r="I136" s="410"/>
      <c r="J136" s="410"/>
      <c r="K136" s="410"/>
      <c r="L136" s="410"/>
      <c r="M136" s="410"/>
      <c r="N136" s="410"/>
      <c r="O136" s="410"/>
      <c r="P136" s="410"/>
      <c r="Q136" s="410"/>
      <c r="R136" s="410"/>
      <c r="S136" s="410"/>
      <c r="T136" s="410"/>
      <c r="U136" s="410"/>
      <c r="V136" s="410"/>
      <c r="W136" s="410"/>
      <c r="X136" s="410"/>
      <c r="Y136" s="410"/>
      <c r="Z136" s="410"/>
      <c r="AA136" s="410"/>
      <c r="AB136" s="410"/>
      <c r="AC136" s="410"/>
      <c r="AD136" s="410"/>
      <c r="AE136" s="410"/>
      <c r="AF136" s="410"/>
      <c r="AG136" s="410"/>
      <c r="AH136" s="410"/>
    </row>
    <row r="137" spans="1:34">
      <c r="A137" s="410"/>
      <c r="B137" s="410"/>
      <c r="C137" s="410"/>
      <c r="D137" s="410"/>
      <c r="E137" s="410"/>
      <c r="F137" s="410"/>
      <c r="G137" s="410"/>
      <c r="H137" s="410"/>
      <c r="I137" s="410"/>
      <c r="J137" s="410"/>
      <c r="K137" s="410"/>
      <c r="L137" s="410"/>
      <c r="M137" s="410"/>
      <c r="N137" s="410"/>
      <c r="O137" s="410"/>
      <c r="P137" s="410"/>
      <c r="Q137" s="410"/>
      <c r="R137" s="410"/>
      <c r="S137" s="410"/>
      <c r="T137" s="410"/>
      <c r="U137" s="410"/>
      <c r="V137" s="410"/>
      <c r="W137" s="410"/>
      <c r="X137" s="410"/>
      <c r="Y137" s="410"/>
      <c r="Z137" s="410"/>
      <c r="AA137" s="410"/>
      <c r="AB137" s="410"/>
      <c r="AC137" s="410"/>
      <c r="AD137" s="410"/>
      <c r="AE137" s="410"/>
      <c r="AF137" s="410"/>
      <c r="AG137" s="410"/>
      <c r="AH137" s="410"/>
    </row>
    <row r="138" spans="1:34">
      <c r="A138" s="410"/>
      <c r="B138" s="410"/>
      <c r="C138" s="410"/>
      <c r="D138" s="410"/>
      <c r="E138" s="410"/>
      <c r="F138" s="410"/>
      <c r="G138" s="410"/>
      <c r="H138" s="410"/>
      <c r="I138" s="410"/>
      <c r="J138" s="410"/>
      <c r="K138" s="410"/>
      <c r="L138" s="410"/>
      <c r="M138" s="410"/>
      <c r="N138" s="410"/>
      <c r="O138" s="410"/>
      <c r="P138" s="410"/>
      <c r="Q138" s="410"/>
      <c r="R138" s="410"/>
      <c r="S138" s="410"/>
      <c r="T138" s="410"/>
      <c r="U138" s="410"/>
      <c r="V138" s="410"/>
      <c r="W138" s="410"/>
      <c r="X138" s="410"/>
      <c r="Y138" s="410"/>
      <c r="Z138" s="410"/>
      <c r="AA138" s="410"/>
      <c r="AB138" s="410"/>
      <c r="AC138" s="410"/>
      <c r="AD138" s="410"/>
      <c r="AE138" s="410"/>
      <c r="AF138" s="410"/>
      <c r="AG138" s="410"/>
      <c r="AH138" s="410"/>
    </row>
    <row r="139" spans="1:34">
      <c r="A139" s="410"/>
      <c r="B139" s="410"/>
      <c r="C139" s="410"/>
      <c r="D139" s="410"/>
      <c r="E139" s="410"/>
      <c r="F139" s="410"/>
      <c r="G139" s="410"/>
      <c r="H139" s="410"/>
      <c r="I139" s="410"/>
      <c r="J139" s="410"/>
      <c r="K139" s="410"/>
      <c r="L139" s="410"/>
      <c r="M139" s="410"/>
      <c r="N139" s="410"/>
      <c r="O139" s="410"/>
      <c r="P139" s="410"/>
      <c r="Q139" s="410"/>
      <c r="R139" s="410"/>
      <c r="S139" s="410"/>
      <c r="T139" s="410"/>
      <c r="U139" s="410"/>
      <c r="V139" s="410"/>
      <c r="W139" s="410"/>
      <c r="X139" s="410"/>
      <c r="Y139" s="410"/>
      <c r="Z139" s="410"/>
      <c r="AA139" s="410"/>
      <c r="AB139" s="410"/>
      <c r="AC139" s="410"/>
      <c r="AD139" s="410"/>
      <c r="AE139" s="410"/>
      <c r="AF139" s="410"/>
      <c r="AG139" s="410"/>
      <c r="AH139" s="410"/>
    </row>
    <row r="140" spans="1:34">
      <c r="A140" s="410"/>
      <c r="B140" s="410"/>
      <c r="C140" s="410"/>
      <c r="D140" s="410"/>
      <c r="E140" s="410"/>
      <c r="F140" s="410"/>
      <c r="G140" s="410"/>
      <c r="H140" s="410"/>
      <c r="I140" s="410"/>
      <c r="J140" s="410"/>
      <c r="K140" s="410"/>
      <c r="L140" s="410"/>
      <c r="M140" s="410"/>
      <c r="N140" s="410"/>
      <c r="O140" s="410"/>
      <c r="P140" s="410"/>
      <c r="Q140" s="410"/>
      <c r="R140" s="410"/>
      <c r="S140" s="410"/>
      <c r="T140" s="410"/>
      <c r="U140" s="410"/>
      <c r="V140" s="410"/>
      <c r="W140" s="410"/>
      <c r="X140" s="410"/>
      <c r="Y140" s="410"/>
      <c r="Z140" s="410"/>
      <c r="AA140" s="410"/>
      <c r="AB140" s="410"/>
      <c r="AC140" s="410"/>
      <c r="AD140" s="410"/>
      <c r="AE140" s="410"/>
      <c r="AF140" s="410"/>
      <c r="AG140" s="410"/>
      <c r="AH140" s="410"/>
    </row>
    <row r="141" spans="1:34">
      <c r="A141" s="410"/>
      <c r="B141" s="410"/>
      <c r="C141" s="410"/>
      <c r="D141" s="410"/>
      <c r="E141" s="410"/>
      <c r="F141" s="410"/>
      <c r="G141" s="410"/>
      <c r="H141" s="410"/>
      <c r="I141" s="410"/>
      <c r="J141" s="410"/>
      <c r="K141" s="410"/>
      <c r="L141" s="410"/>
      <c r="M141" s="410"/>
      <c r="N141" s="410"/>
      <c r="O141" s="410"/>
      <c r="P141" s="410"/>
      <c r="Q141" s="410"/>
      <c r="R141" s="410"/>
      <c r="S141" s="410"/>
      <c r="T141" s="410"/>
      <c r="U141" s="410"/>
      <c r="V141" s="410"/>
      <c r="W141" s="410"/>
      <c r="X141" s="410"/>
      <c r="Y141" s="410"/>
      <c r="Z141" s="410"/>
      <c r="AA141" s="410"/>
      <c r="AB141" s="410"/>
      <c r="AC141" s="410"/>
      <c r="AD141" s="410"/>
      <c r="AE141" s="410"/>
      <c r="AF141" s="410"/>
      <c r="AG141" s="410"/>
      <c r="AH141" s="410"/>
    </row>
    <row r="142" spans="1:34">
      <c r="A142" s="410"/>
      <c r="B142" s="410"/>
      <c r="C142" s="410"/>
      <c r="D142" s="410"/>
      <c r="E142" s="410"/>
      <c r="F142" s="410"/>
      <c r="G142" s="410"/>
      <c r="H142" s="410"/>
      <c r="I142" s="410"/>
      <c r="J142" s="410"/>
      <c r="K142" s="410"/>
      <c r="L142" s="410"/>
      <c r="M142" s="410"/>
      <c r="N142" s="410"/>
      <c r="O142" s="410"/>
      <c r="P142" s="410"/>
      <c r="Q142" s="410"/>
      <c r="R142" s="410"/>
      <c r="S142" s="410"/>
      <c r="T142" s="410"/>
      <c r="U142" s="410"/>
      <c r="V142" s="410"/>
      <c r="W142" s="410"/>
      <c r="X142" s="410"/>
      <c r="Y142" s="410"/>
      <c r="Z142" s="410"/>
      <c r="AA142" s="410"/>
      <c r="AB142" s="410"/>
      <c r="AC142" s="410"/>
      <c r="AD142" s="410"/>
      <c r="AE142" s="410"/>
      <c r="AF142" s="410"/>
      <c r="AG142" s="410"/>
      <c r="AH142" s="410"/>
    </row>
    <row r="143" spans="1:34">
      <c r="A143" s="410"/>
      <c r="B143" s="410"/>
      <c r="C143" s="410"/>
      <c r="D143" s="410"/>
      <c r="E143" s="410"/>
      <c r="F143" s="410"/>
      <c r="G143" s="410"/>
      <c r="H143" s="410"/>
      <c r="I143" s="410"/>
      <c r="J143" s="410"/>
      <c r="K143" s="410"/>
      <c r="L143" s="410"/>
      <c r="M143" s="410"/>
      <c r="N143" s="410"/>
      <c r="O143" s="410"/>
      <c r="P143" s="410"/>
      <c r="Q143" s="410"/>
      <c r="R143" s="410"/>
      <c r="S143" s="410"/>
      <c r="T143" s="410"/>
      <c r="U143" s="410"/>
      <c r="V143" s="410"/>
      <c r="W143" s="410"/>
      <c r="X143" s="410"/>
      <c r="Y143" s="410"/>
      <c r="Z143" s="410"/>
      <c r="AA143" s="410"/>
      <c r="AB143" s="410"/>
      <c r="AC143" s="410"/>
      <c r="AD143" s="410"/>
      <c r="AE143" s="410"/>
      <c r="AF143" s="410"/>
      <c r="AG143" s="410"/>
      <c r="AH143" s="410"/>
    </row>
    <row r="144" spans="1:34">
      <c r="A144" s="410"/>
      <c r="B144" s="410"/>
      <c r="C144" s="410"/>
      <c r="D144" s="410"/>
      <c r="E144" s="410"/>
      <c r="F144" s="410"/>
      <c r="G144" s="410"/>
      <c r="H144" s="410"/>
      <c r="I144" s="410"/>
      <c r="J144" s="410"/>
      <c r="K144" s="410"/>
      <c r="L144" s="410"/>
      <c r="M144" s="410"/>
      <c r="N144" s="410"/>
      <c r="O144" s="410"/>
      <c r="P144" s="410"/>
      <c r="Q144" s="410"/>
      <c r="R144" s="410"/>
      <c r="S144" s="410"/>
      <c r="T144" s="410"/>
      <c r="U144" s="410"/>
      <c r="V144" s="410"/>
      <c r="W144" s="410"/>
      <c r="X144" s="410"/>
      <c r="Y144" s="410"/>
      <c r="Z144" s="410"/>
      <c r="AA144" s="410"/>
      <c r="AB144" s="410"/>
      <c r="AC144" s="410"/>
      <c r="AD144" s="410"/>
      <c r="AE144" s="410"/>
      <c r="AF144" s="410"/>
      <c r="AG144" s="410"/>
      <c r="AH144" s="410"/>
    </row>
    <row r="145" spans="1:34">
      <c r="A145" s="410"/>
      <c r="B145" s="410"/>
      <c r="C145" s="410"/>
      <c r="D145" s="410"/>
      <c r="E145" s="410"/>
      <c r="F145" s="410"/>
      <c r="G145" s="410"/>
      <c r="H145" s="410"/>
      <c r="I145" s="410"/>
      <c r="J145" s="410"/>
      <c r="K145" s="410"/>
      <c r="L145" s="410"/>
      <c r="M145" s="410"/>
      <c r="N145" s="410"/>
      <c r="O145" s="410"/>
      <c r="P145" s="410"/>
      <c r="Q145" s="410"/>
      <c r="R145" s="410"/>
      <c r="S145" s="410"/>
      <c r="T145" s="410"/>
      <c r="U145" s="410"/>
      <c r="V145" s="410"/>
      <c r="W145" s="410"/>
      <c r="X145" s="410"/>
      <c r="Y145" s="410"/>
      <c r="Z145" s="410"/>
      <c r="AA145" s="410"/>
      <c r="AB145" s="410"/>
      <c r="AC145" s="410"/>
      <c r="AD145" s="410"/>
      <c r="AE145" s="410"/>
      <c r="AF145" s="410"/>
      <c r="AG145" s="410"/>
      <c r="AH145" s="410"/>
    </row>
    <row r="146" spans="1:34">
      <c r="A146" s="410"/>
      <c r="B146" s="410"/>
      <c r="C146" s="410"/>
      <c r="D146" s="410"/>
      <c r="E146" s="410"/>
      <c r="F146" s="410"/>
      <c r="G146" s="410"/>
      <c r="H146" s="410"/>
      <c r="I146" s="410"/>
      <c r="J146" s="410"/>
      <c r="K146" s="410"/>
      <c r="L146" s="410"/>
      <c r="M146" s="410"/>
      <c r="N146" s="410"/>
      <c r="O146" s="410"/>
      <c r="P146" s="410"/>
      <c r="Q146" s="410"/>
      <c r="R146" s="410"/>
      <c r="S146" s="410"/>
      <c r="T146" s="410"/>
      <c r="U146" s="410"/>
      <c r="V146" s="410"/>
      <c r="W146" s="410"/>
      <c r="X146" s="410"/>
      <c r="Y146" s="410"/>
      <c r="Z146" s="410"/>
      <c r="AA146" s="410"/>
      <c r="AB146" s="410"/>
      <c r="AC146" s="410"/>
      <c r="AD146" s="410"/>
      <c r="AE146" s="410"/>
      <c r="AF146" s="410"/>
      <c r="AG146" s="410"/>
      <c r="AH146" s="410"/>
    </row>
    <row r="147" spans="1:34">
      <c r="A147" s="410"/>
      <c r="B147" s="410"/>
      <c r="C147" s="410"/>
      <c r="D147" s="410"/>
      <c r="E147" s="410"/>
      <c r="F147" s="410"/>
      <c r="G147" s="410"/>
      <c r="H147" s="410"/>
      <c r="I147" s="410"/>
      <c r="J147" s="410"/>
      <c r="K147" s="410"/>
      <c r="L147" s="410"/>
      <c r="M147" s="410"/>
      <c r="N147" s="410"/>
      <c r="O147" s="410"/>
      <c r="P147" s="410"/>
      <c r="Q147" s="410"/>
      <c r="R147" s="410"/>
      <c r="S147" s="410"/>
      <c r="T147" s="410"/>
      <c r="U147" s="410"/>
      <c r="V147" s="410"/>
      <c r="W147" s="410"/>
      <c r="X147" s="410"/>
      <c r="Y147" s="410"/>
      <c r="Z147" s="410"/>
      <c r="AA147" s="410"/>
      <c r="AB147" s="410"/>
      <c r="AC147" s="410"/>
      <c r="AD147" s="410"/>
      <c r="AE147" s="410"/>
      <c r="AF147" s="410"/>
      <c r="AG147" s="410"/>
      <c r="AH147" s="410"/>
    </row>
    <row r="148" spans="1:34">
      <c r="A148" s="410"/>
      <c r="B148" s="410"/>
      <c r="C148" s="410"/>
      <c r="D148" s="410"/>
      <c r="E148" s="410"/>
      <c r="F148" s="410"/>
      <c r="G148" s="410"/>
      <c r="H148" s="410"/>
      <c r="I148" s="410"/>
      <c r="J148" s="410"/>
      <c r="K148" s="410"/>
      <c r="L148" s="410"/>
      <c r="M148" s="410"/>
      <c r="N148" s="410"/>
      <c r="O148" s="410"/>
      <c r="P148" s="410"/>
      <c r="Q148" s="410"/>
      <c r="R148" s="410"/>
      <c r="S148" s="410"/>
      <c r="T148" s="410"/>
      <c r="U148" s="410"/>
      <c r="V148" s="410"/>
      <c r="W148" s="410"/>
      <c r="X148" s="410"/>
      <c r="Y148" s="410"/>
      <c r="Z148" s="410"/>
      <c r="AA148" s="410"/>
      <c r="AB148" s="410"/>
      <c r="AC148" s="410"/>
      <c r="AD148" s="410"/>
      <c r="AE148" s="410"/>
      <c r="AF148" s="410"/>
      <c r="AG148" s="410"/>
      <c r="AH148" s="410"/>
    </row>
    <row r="149" spans="1:34">
      <c r="A149" s="410"/>
      <c r="B149" s="410"/>
      <c r="C149" s="410"/>
      <c r="D149" s="410"/>
      <c r="E149" s="410"/>
      <c r="F149" s="410"/>
      <c r="G149" s="410"/>
      <c r="H149" s="410"/>
      <c r="I149" s="410"/>
      <c r="J149" s="410"/>
      <c r="K149" s="410"/>
      <c r="L149" s="410"/>
      <c r="M149" s="410"/>
      <c r="N149" s="410"/>
      <c r="O149" s="410"/>
      <c r="P149" s="410"/>
      <c r="Q149" s="410"/>
      <c r="R149" s="410"/>
      <c r="S149" s="410"/>
      <c r="T149" s="410"/>
      <c r="U149" s="410"/>
      <c r="V149" s="410"/>
      <c r="W149" s="410"/>
      <c r="X149" s="410"/>
      <c r="Y149" s="410"/>
      <c r="Z149" s="410"/>
      <c r="AA149" s="410"/>
      <c r="AB149" s="410"/>
      <c r="AC149" s="410"/>
      <c r="AD149" s="410"/>
      <c r="AE149" s="410"/>
      <c r="AF149" s="410"/>
      <c r="AG149" s="410"/>
      <c r="AH149" s="410"/>
    </row>
    <row r="150" spans="1:34">
      <c r="A150" s="410"/>
      <c r="B150" s="410"/>
      <c r="C150" s="410"/>
      <c r="D150" s="410"/>
      <c r="E150" s="410"/>
      <c r="F150" s="410"/>
      <c r="G150" s="410"/>
      <c r="H150" s="410"/>
      <c r="I150" s="410"/>
      <c r="J150" s="410"/>
      <c r="K150" s="410"/>
      <c r="L150" s="410"/>
      <c r="M150" s="410"/>
      <c r="N150" s="410"/>
      <c r="O150" s="410"/>
      <c r="P150" s="410"/>
      <c r="Q150" s="410"/>
      <c r="R150" s="410"/>
      <c r="S150" s="410"/>
      <c r="T150" s="410"/>
      <c r="U150" s="410"/>
      <c r="V150" s="410"/>
      <c r="W150" s="410"/>
      <c r="X150" s="410"/>
      <c r="Y150" s="410"/>
      <c r="Z150" s="410"/>
      <c r="AA150" s="410"/>
      <c r="AB150" s="410"/>
      <c r="AC150" s="410"/>
      <c r="AD150" s="410"/>
      <c r="AE150" s="410"/>
      <c r="AF150" s="410"/>
      <c r="AG150" s="410"/>
      <c r="AH150" s="410"/>
    </row>
    <row r="151" spans="1:34">
      <c r="A151" s="410"/>
      <c r="B151" s="410"/>
      <c r="C151" s="410"/>
      <c r="D151" s="410"/>
      <c r="E151" s="410"/>
      <c r="F151" s="410"/>
      <c r="G151" s="410"/>
      <c r="H151" s="410"/>
      <c r="I151" s="410"/>
      <c r="J151" s="410"/>
      <c r="K151" s="410"/>
      <c r="L151" s="410"/>
      <c r="M151" s="410"/>
      <c r="N151" s="410"/>
      <c r="O151" s="410"/>
      <c r="P151" s="410"/>
      <c r="Q151" s="410"/>
      <c r="R151" s="410"/>
      <c r="S151" s="410"/>
      <c r="T151" s="410"/>
      <c r="U151" s="410"/>
      <c r="V151" s="410"/>
      <c r="W151" s="410"/>
      <c r="X151" s="410"/>
      <c r="Y151" s="410"/>
      <c r="Z151" s="410"/>
      <c r="AA151" s="410"/>
      <c r="AB151" s="410"/>
      <c r="AC151" s="410"/>
      <c r="AD151" s="410"/>
      <c r="AE151" s="410"/>
      <c r="AF151" s="410"/>
      <c r="AG151" s="410"/>
      <c r="AH151" s="410"/>
    </row>
    <row r="152" spans="1:34">
      <c r="A152" s="410"/>
      <c r="B152" s="410"/>
      <c r="C152" s="410"/>
      <c r="D152" s="410"/>
      <c r="E152" s="410"/>
      <c r="F152" s="410"/>
      <c r="G152" s="410"/>
      <c r="H152" s="410"/>
      <c r="I152" s="410"/>
      <c r="J152" s="410"/>
      <c r="K152" s="410"/>
      <c r="L152" s="410"/>
      <c r="M152" s="410"/>
      <c r="N152" s="410"/>
      <c r="O152" s="410"/>
      <c r="P152" s="410"/>
      <c r="Q152" s="410"/>
      <c r="R152" s="410"/>
      <c r="S152" s="410"/>
      <c r="T152" s="410"/>
      <c r="U152" s="410"/>
      <c r="V152" s="410"/>
      <c r="W152" s="410"/>
      <c r="X152" s="410"/>
      <c r="Y152" s="410"/>
      <c r="Z152" s="410"/>
      <c r="AA152" s="410"/>
      <c r="AB152" s="410"/>
      <c r="AC152" s="410"/>
      <c r="AD152" s="410"/>
      <c r="AE152" s="410"/>
      <c r="AF152" s="410"/>
      <c r="AG152" s="410"/>
      <c r="AH152" s="410"/>
    </row>
    <row r="153" spans="1:34">
      <c r="A153" s="410"/>
      <c r="B153" s="410"/>
      <c r="C153" s="410"/>
      <c r="D153" s="410"/>
      <c r="E153" s="410"/>
      <c r="F153" s="410"/>
      <c r="G153" s="410"/>
      <c r="H153" s="410"/>
      <c r="I153" s="410"/>
      <c r="J153" s="410"/>
      <c r="K153" s="410"/>
      <c r="L153" s="410"/>
      <c r="M153" s="410"/>
      <c r="N153" s="410"/>
      <c r="O153" s="410"/>
      <c r="P153" s="410"/>
      <c r="Q153" s="410"/>
      <c r="R153" s="410"/>
      <c r="S153" s="410"/>
      <c r="T153" s="410"/>
      <c r="U153" s="410"/>
      <c r="V153" s="410"/>
      <c r="W153" s="410"/>
      <c r="X153" s="410"/>
      <c r="Y153" s="410"/>
      <c r="Z153" s="410"/>
      <c r="AA153" s="410"/>
      <c r="AB153" s="410"/>
      <c r="AC153" s="410"/>
      <c r="AD153" s="410"/>
      <c r="AE153" s="410"/>
      <c r="AF153" s="410"/>
      <c r="AG153" s="410"/>
      <c r="AH153" s="410"/>
    </row>
    <row r="154" spans="1:34">
      <c r="A154" s="410"/>
      <c r="B154" s="410"/>
      <c r="C154" s="410"/>
      <c r="D154" s="410"/>
      <c r="E154" s="410"/>
      <c r="F154" s="410"/>
      <c r="G154" s="410"/>
      <c r="H154" s="410"/>
      <c r="I154" s="410"/>
      <c r="J154" s="410"/>
      <c r="K154" s="410"/>
      <c r="L154" s="410"/>
      <c r="M154" s="410"/>
      <c r="N154" s="410"/>
      <c r="O154" s="410"/>
      <c r="P154" s="410"/>
      <c r="Q154" s="410"/>
      <c r="R154" s="410"/>
      <c r="S154" s="410"/>
      <c r="T154" s="410"/>
      <c r="U154" s="410"/>
      <c r="V154" s="410"/>
      <c r="W154" s="410"/>
      <c r="X154" s="410"/>
      <c r="Y154" s="410"/>
      <c r="Z154" s="410"/>
      <c r="AA154" s="410"/>
      <c r="AB154" s="410"/>
      <c r="AC154" s="410"/>
      <c r="AD154" s="410"/>
      <c r="AE154" s="410"/>
      <c r="AF154" s="410"/>
      <c r="AG154" s="410"/>
      <c r="AH154" s="410"/>
    </row>
    <row r="155" spans="1:34">
      <c r="A155" s="410"/>
      <c r="B155" s="410"/>
      <c r="C155" s="410"/>
      <c r="D155" s="410"/>
      <c r="E155" s="410"/>
      <c r="F155" s="410"/>
      <c r="G155" s="410"/>
      <c r="H155" s="410"/>
      <c r="I155" s="410"/>
      <c r="J155" s="410"/>
      <c r="K155" s="410"/>
      <c r="L155" s="410"/>
      <c r="M155" s="410"/>
      <c r="N155" s="410"/>
      <c r="O155" s="410"/>
      <c r="P155" s="410"/>
      <c r="Q155" s="410"/>
      <c r="R155" s="410"/>
      <c r="S155" s="410"/>
      <c r="T155" s="410"/>
      <c r="U155" s="410"/>
      <c r="V155" s="410"/>
      <c r="W155" s="410"/>
      <c r="X155" s="410"/>
      <c r="Y155" s="410"/>
      <c r="Z155" s="410"/>
      <c r="AA155" s="410"/>
      <c r="AB155" s="410"/>
      <c r="AC155" s="410"/>
      <c r="AD155" s="410"/>
      <c r="AE155" s="410"/>
      <c r="AF155" s="410"/>
      <c r="AG155" s="410"/>
      <c r="AH155" s="410"/>
    </row>
    <row r="156" spans="1:34">
      <c r="A156" s="410"/>
      <c r="B156" s="410"/>
      <c r="C156" s="410"/>
      <c r="D156" s="410"/>
      <c r="E156" s="410"/>
      <c r="F156" s="410"/>
      <c r="G156" s="410"/>
      <c r="H156" s="410"/>
      <c r="I156" s="410"/>
      <c r="J156" s="410"/>
      <c r="K156" s="410"/>
      <c r="L156" s="410"/>
      <c r="M156" s="410"/>
      <c r="N156" s="410"/>
      <c r="O156" s="410"/>
      <c r="P156" s="410"/>
      <c r="Q156" s="410"/>
      <c r="R156" s="410"/>
      <c r="S156" s="410"/>
      <c r="T156" s="410"/>
      <c r="U156" s="410"/>
      <c r="V156" s="410"/>
      <c r="W156" s="410"/>
      <c r="X156" s="410"/>
      <c r="Y156" s="410"/>
      <c r="Z156" s="410"/>
      <c r="AA156" s="410"/>
      <c r="AB156" s="410"/>
      <c r="AC156" s="410"/>
      <c r="AD156" s="410"/>
      <c r="AE156" s="410"/>
      <c r="AF156" s="410"/>
      <c r="AG156" s="410"/>
      <c r="AH156" s="410"/>
    </row>
    <row r="157" spans="1:34">
      <c r="A157" s="410"/>
      <c r="B157" s="410"/>
      <c r="C157" s="410"/>
      <c r="D157" s="410"/>
      <c r="E157" s="410"/>
      <c r="F157" s="410"/>
      <c r="G157" s="410"/>
      <c r="H157" s="410"/>
      <c r="I157" s="410"/>
      <c r="J157" s="410"/>
      <c r="K157" s="410"/>
      <c r="L157" s="410"/>
      <c r="M157" s="410"/>
      <c r="N157" s="410"/>
      <c r="O157" s="410"/>
      <c r="P157" s="410"/>
      <c r="Q157" s="410"/>
      <c r="R157" s="410"/>
      <c r="S157" s="410"/>
      <c r="T157" s="410"/>
      <c r="U157" s="410"/>
      <c r="V157" s="410"/>
      <c r="W157" s="410"/>
      <c r="X157" s="410"/>
      <c r="Y157" s="410"/>
      <c r="Z157" s="410"/>
      <c r="AA157" s="410"/>
      <c r="AB157" s="410"/>
      <c r="AC157" s="410"/>
      <c r="AD157" s="410"/>
      <c r="AE157" s="410"/>
      <c r="AF157" s="410"/>
      <c r="AG157" s="410"/>
      <c r="AH157" s="410"/>
    </row>
    <row r="158" spans="1:34">
      <c r="A158" s="410"/>
      <c r="B158" s="410"/>
      <c r="C158" s="410"/>
      <c r="D158" s="410"/>
      <c r="E158" s="410"/>
      <c r="F158" s="410"/>
      <c r="G158" s="410"/>
      <c r="H158" s="410"/>
      <c r="I158" s="410"/>
      <c r="J158" s="410"/>
      <c r="K158" s="410"/>
      <c r="L158" s="410"/>
      <c r="M158" s="410"/>
      <c r="N158" s="410"/>
      <c r="O158" s="410"/>
      <c r="P158" s="410"/>
      <c r="Q158" s="410"/>
      <c r="R158" s="410"/>
      <c r="S158" s="410"/>
      <c r="T158" s="410"/>
      <c r="U158" s="410"/>
      <c r="V158" s="410"/>
      <c r="W158" s="410"/>
      <c r="X158" s="410"/>
      <c r="Y158" s="410"/>
      <c r="Z158" s="410"/>
      <c r="AA158" s="410"/>
      <c r="AB158" s="410"/>
      <c r="AC158" s="410"/>
      <c r="AD158" s="410"/>
      <c r="AE158" s="410"/>
      <c r="AF158" s="410"/>
      <c r="AG158" s="410"/>
      <c r="AH158" s="410"/>
    </row>
    <row r="159" spans="1:34">
      <c r="A159" s="410"/>
      <c r="B159" s="410"/>
      <c r="C159" s="410"/>
      <c r="D159" s="410"/>
      <c r="E159" s="410"/>
      <c r="F159" s="410"/>
      <c r="G159" s="410"/>
      <c r="H159" s="410"/>
      <c r="I159" s="410"/>
      <c r="J159" s="410"/>
      <c r="K159" s="410"/>
      <c r="L159" s="410"/>
      <c r="M159" s="410"/>
      <c r="N159" s="410"/>
      <c r="O159" s="410"/>
      <c r="P159" s="410"/>
      <c r="Q159" s="410"/>
      <c r="R159" s="410"/>
      <c r="S159" s="410"/>
      <c r="T159" s="410"/>
      <c r="U159" s="410"/>
      <c r="V159" s="410"/>
      <c r="W159" s="410"/>
      <c r="X159" s="410"/>
      <c r="Y159" s="410"/>
      <c r="Z159" s="410"/>
      <c r="AA159" s="410"/>
      <c r="AB159" s="410"/>
      <c r="AC159" s="410"/>
      <c r="AD159" s="410"/>
      <c r="AE159" s="410"/>
      <c r="AF159" s="410"/>
      <c r="AG159" s="410"/>
      <c r="AH159" s="410"/>
    </row>
    <row r="160" spans="1:34">
      <c r="A160" s="410"/>
      <c r="B160" s="410"/>
      <c r="C160" s="410"/>
      <c r="D160" s="410"/>
      <c r="E160" s="410"/>
      <c r="F160" s="410"/>
      <c r="G160" s="410"/>
      <c r="H160" s="410"/>
      <c r="I160" s="410"/>
      <c r="J160" s="410"/>
      <c r="K160" s="410"/>
      <c r="L160" s="410"/>
      <c r="M160" s="410"/>
      <c r="N160" s="410"/>
      <c r="O160" s="410"/>
      <c r="P160" s="410"/>
      <c r="Q160" s="410"/>
      <c r="R160" s="410"/>
      <c r="S160" s="410"/>
      <c r="T160" s="410"/>
      <c r="U160" s="410"/>
      <c r="V160" s="410"/>
      <c r="W160" s="410"/>
      <c r="X160" s="410"/>
      <c r="Y160" s="410"/>
      <c r="Z160" s="410"/>
      <c r="AA160" s="410"/>
      <c r="AB160" s="410"/>
      <c r="AC160" s="410"/>
      <c r="AD160" s="410"/>
      <c r="AE160" s="410"/>
      <c r="AF160" s="410"/>
      <c r="AG160" s="410"/>
      <c r="AH160" s="410"/>
    </row>
    <row r="161" spans="1:34">
      <c r="A161" s="410"/>
      <c r="B161" s="410"/>
      <c r="C161" s="410"/>
      <c r="D161" s="410"/>
      <c r="E161" s="410"/>
      <c r="F161" s="410"/>
      <c r="G161" s="410"/>
      <c r="H161" s="410"/>
      <c r="I161" s="410"/>
      <c r="J161" s="410"/>
      <c r="K161" s="410"/>
      <c r="L161" s="410"/>
      <c r="M161" s="410"/>
      <c r="N161" s="410"/>
      <c r="O161" s="410"/>
      <c r="P161" s="410"/>
      <c r="Q161" s="410"/>
      <c r="R161" s="410"/>
      <c r="S161" s="410"/>
      <c r="T161" s="410"/>
      <c r="U161" s="410"/>
      <c r="V161" s="410"/>
      <c r="W161" s="410"/>
      <c r="X161" s="410"/>
      <c r="Y161" s="410"/>
      <c r="Z161" s="410"/>
      <c r="AA161" s="410"/>
      <c r="AB161" s="410"/>
      <c r="AC161" s="410"/>
      <c r="AD161" s="410"/>
      <c r="AE161" s="410"/>
      <c r="AF161" s="410"/>
      <c r="AG161" s="410"/>
      <c r="AH161" s="410"/>
    </row>
    <row r="162" spans="1:34">
      <c r="A162" s="410"/>
      <c r="B162" s="410"/>
      <c r="C162" s="410"/>
      <c r="D162" s="410"/>
      <c r="E162" s="410"/>
      <c r="F162" s="410"/>
      <c r="G162" s="410"/>
      <c r="H162" s="410"/>
      <c r="I162" s="410"/>
      <c r="J162" s="410"/>
      <c r="K162" s="410"/>
      <c r="L162" s="410"/>
      <c r="M162" s="410"/>
      <c r="N162" s="410"/>
      <c r="O162" s="410"/>
      <c r="P162" s="410"/>
      <c r="Q162" s="410"/>
      <c r="R162" s="410"/>
      <c r="S162" s="410"/>
      <c r="T162" s="410"/>
      <c r="U162" s="410"/>
      <c r="V162" s="410"/>
      <c r="W162" s="410"/>
      <c r="X162" s="410"/>
      <c r="Y162" s="410"/>
      <c r="Z162" s="410"/>
      <c r="AA162" s="410"/>
      <c r="AB162" s="410"/>
      <c r="AC162" s="410"/>
      <c r="AD162" s="410"/>
      <c r="AE162" s="410"/>
      <c r="AF162" s="410"/>
      <c r="AG162" s="410"/>
      <c r="AH162" s="410"/>
    </row>
    <row r="163" spans="1:34">
      <c r="A163" s="410"/>
      <c r="B163" s="410"/>
      <c r="C163" s="410"/>
      <c r="D163" s="410"/>
      <c r="E163" s="410"/>
      <c r="F163" s="410"/>
      <c r="G163" s="410"/>
      <c r="H163" s="410"/>
      <c r="I163" s="410"/>
      <c r="J163" s="410"/>
      <c r="K163" s="410"/>
      <c r="L163" s="410"/>
      <c r="M163" s="410"/>
      <c r="N163" s="410"/>
      <c r="O163" s="410"/>
      <c r="P163" s="410"/>
      <c r="Q163" s="410"/>
      <c r="R163" s="410"/>
      <c r="S163" s="410"/>
      <c r="T163" s="410"/>
      <c r="U163" s="410"/>
      <c r="V163" s="410"/>
      <c r="W163" s="410"/>
      <c r="X163" s="410"/>
      <c r="Y163" s="410"/>
      <c r="Z163" s="410"/>
      <c r="AA163" s="410"/>
      <c r="AB163" s="410"/>
      <c r="AC163" s="410"/>
      <c r="AD163" s="410"/>
      <c r="AE163" s="410"/>
      <c r="AF163" s="410"/>
      <c r="AG163" s="410"/>
      <c r="AH163" s="410"/>
    </row>
    <row r="164" spans="1:34">
      <c r="A164" s="410"/>
      <c r="B164" s="410"/>
      <c r="C164" s="410"/>
      <c r="D164" s="410"/>
      <c r="E164" s="410"/>
      <c r="F164" s="410"/>
      <c r="G164" s="410"/>
      <c r="H164" s="410"/>
      <c r="I164" s="410"/>
      <c r="J164" s="410"/>
      <c r="K164" s="410"/>
      <c r="L164" s="410"/>
      <c r="M164" s="410"/>
      <c r="N164" s="410"/>
      <c r="O164" s="410"/>
      <c r="P164" s="410"/>
      <c r="Q164" s="410"/>
      <c r="R164" s="410"/>
      <c r="S164" s="410"/>
      <c r="T164" s="410"/>
      <c r="U164" s="410"/>
      <c r="V164" s="410"/>
      <c r="W164" s="410"/>
      <c r="X164" s="410"/>
      <c r="Y164" s="410"/>
      <c r="Z164" s="410"/>
      <c r="AA164" s="410"/>
      <c r="AB164" s="410"/>
      <c r="AC164" s="410"/>
      <c r="AD164" s="410"/>
      <c r="AE164" s="410"/>
      <c r="AF164" s="410"/>
      <c r="AG164" s="410"/>
      <c r="AH164" s="410"/>
    </row>
    <row r="165" spans="1:34">
      <c r="A165" s="410"/>
      <c r="B165" s="410"/>
      <c r="C165" s="410"/>
      <c r="D165" s="410"/>
      <c r="E165" s="410"/>
      <c r="F165" s="410"/>
      <c r="G165" s="410"/>
      <c r="H165" s="410"/>
      <c r="I165" s="410"/>
      <c r="J165" s="410"/>
      <c r="K165" s="410"/>
      <c r="L165" s="410"/>
      <c r="M165" s="410"/>
      <c r="N165" s="410"/>
      <c r="O165" s="410"/>
      <c r="P165" s="410"/>
      <c r="Q165" s="410"/>
      <c r="R165" s="410"/>
      <c r="S165" s="410"/>
      <c r="T165" s="410"/>
      <c r="U165" s="410"/>
      <c r="V165" s="410"/>
      <c r="W165" s="410"/>
      <c r="X165" s="410"/>
      <c r="Y165" s="410"/>
      <c r="Z165" s="410"/>
      <c r="AA165" s="410"/>
      <c r="AB165" s="410"/>
      <c r="AC165" s="410"/>
      <c r="AD165" s="410"/>
      <c r="AE165" s="410"/>
      <c r="AF165" s="410"/>
      <c r="AG165" s="410"/>
      <c r="AH165" s="410"/>
    </row>
    <row r="166" spans="1:34">
      <c r="A166" s="410"/>
      <c r="B166" s="410"/>
      <c r="C166" s="410"/>
      <c r="D166" s="410"/>
      <c r="E166" s="410"/>
      <c r="F166" s="410"/>
      <c r="G166" s="410"/>
      <c r="H166" s="410"/>
      <c r="I166" s="410"/>
      <c r="J166" s="410"/>
      <c r="K166" s="410"/>
      <c r="L166" s="410"/>
      <c r="M166" s="410"/>
      <c r="N166" s="410"/>
      <c r="O166" s="410"/>
      <c r="P166" s="410"/>
      <c r="Q166" s="410"/>
      <c r="R166" s="410"/>
      <c r="S166" s="410"/>
      <c r="T166" s="410"/>
      <c r="U166" s="410"/>
      <c r="V166" s="410"/>
      <c r="W166" s="410"/>
      <c r="X166" s="410"/>
      <c r="Y166" s="410"/>
      <c r="Z166" s="410"/>
      <c r="AA166" s="410"/>
      <c r="AB166" s="410"/>
      <c r="AC166" s="410"/>
      <c r="AD166" s="410"/>
      <c r="AE166" s="410"/>
      <c r="AF166" s="410"/>
      <c r="AG166" s="410"/>
      <c r="AH166" s="410"/>
    </row>
    <row r="167" spans="1:34">
      <c r="A167" s="410"/>
      <c r="B167" s="410"/>
      <c r="C167" s="410"/>
      <c r="D167" s="410"/>
      <c r="E167" s="410"/>
      <c r="F167" s="410"/>
      <c r="G167" s="410"/>
      <c r="H167" s="410"/>
      <c r="I167" s="410"/>
      <c r="J167" s="410"/>
      <c r="K167" s="410"/>
      <c r="L167" s="410"/>
      <c r="M167" s="410"/>
      <c r="N167" s="410"/>
      <c r="O167" s="410"/>
      <c r="P167" s="410"/>
      <c r="Q167" s="410"/>
      <c r="R167" s="410"/>
      <c r="S167" s="410"/>
      <c r="T167" s="410"/>
      <c r="U167" s="410"/>
      <c r="V167" s="410"/>
      <c r="W167" s="410"/>
      <c r="X167" s="410"/>
      <c r="Y167" s="410"/>
      <c r="Z167" s="410"/>
      <c r="AA167" s="410"/>
      <c r="AB167" s="410"/>
      <c r="AC167" s="410"/>
      <c r="AD167" s="410"/>
      <c r="AE167" s="410"/>
      <c r="AF167" s="410"/>
      <c r="AG167" s="410"/>
      <c r="AH167" s="410"/>
    </row>
    <row r="168" spans="1:34">
      <c r="A168" s="410"/>
      <c r="B168" s="410"/>
      <c r="C168" s="410"/>
      <c r="D168" s="410"/>
      <c r="E168" s="410"/>
      <c r="F168" s="410"/>
      <c r="G168" s="410"/>
      <c r="H168" s="410"/>
      <c r="I168" s="410"/>
      <c r="J168" s="410"/>
      <c r="K168" s="410"/>
      <c r="L168" s="410"/>
      <c r="M168" s="410"/>
      <c r="N168" s="410"/>
      <c r="O168" s="410"/>
      <c r="P168" s="410"/>
      <c r="Q168" s="410"/>
      <c r="R168" s="410"/>
      <c r="S168" s="410"/>
      <c r="T168" s="410"/>
      <c r="U168" s="410"/>
      <c r="V168" s="410"/>
      <c r="W168" s="410"/>
      <c r="X168" s="410"/>
      <c r="Y168" s="410"/>
      <c r="Z168" s="410"/>
      <c r="AA168" s="410"/>
      <c r="AB168" s="410"/>
      <c r="AC168" s="410"/>
      <c r="AD168" s="410"/>
      <c r="AE168" s="410"/>
      <c r="AF168" s="410"/>
      <c r="AG168" s="410"/>
      <c r="AH168" s="410"/>
    </row>
    <row r="169" spans="1:34">
      <c r="A169" s="410"/>
      <c r="B169" s="410"/>
      <c r="C169" s="410"/>
      <c r="D169" s="410"/>
      <c r="E169" s="410"/>
      <c r="F169" s="410"/>
      <c r="G169" s="410"/>
      <c r="H169" s="410"/>
      <c r="I169" s="410"/>
      <c r="J169" s="410"/>
      <c r="K169" s="410"/>
      <c r="L169" s="410"/>
      <c r="M169" s="410"/>
      <c r="N169" s="410"/>
      <c r="O169" s="410"/>
      <c r="P169" s="410"/>
      <c r="Q169" s="410"/>
      <c r="R169" s="410"/>
      <c r="S169" s="410"/>
      <c r="T169" s="410"/>
      <c r="U169" s="410"/>
      <c r="V169" s="410"/>
      <c r="W169" s="410"/>
      <c r="X169" s="410"/>
      <c r="Y169" s="410"/>
      <c r="Z169" s="410"/>
      <c r="AA169" s="410"/>
      <c r="AB169" s="410"/>
      <c r="AC169" s="410"/>
      <c r="AD169" s="410"/>
      <c r="AE169" s="410"/>
      <c r="AF169" s="410"/>
      <c r="AG169" s="410"/>
      <c r="AH169" s="410"/>
    </row>
    <row r="170" spans="1:34">
      <c r="A170" s="410"/>
      <c r="B170" s="410"/>
      <c r="C170" s="410"/>
      <c r="D170" s="410"/>
      <c r="E170" s="410"/>
      <c r="F170" s="410"/>
      <c r="G170" s="410"/>
      <c r="H170" s="410"/>
      <c r="I170" s="410"/>
      <c r="J170" s="410"/>
      <c r="K170" s="410"/>
      <c r="L170" s="410"/>
      <c r="M170" s="410"/>
      <c r="N170" s="410"/>
      <c r="O170" s="410"/>
      <c r="P170" s="410"/>
      <c r="Q170" s="410"/>
      <c r="R170" s="410"/>
      <c r="S170" s="410"/>
      <c r="T170" s="410"/>
      <c r="U170" s="410"/>
      <c r="V170" s="410"/>
      <c r="W170" s="410"/>
      <c r="X170" s="410"/>
      <c r="Y170" s="410"/>
      <c r="Z170" s="410"/>
      <c r="AA170" s="410"/>
      <c r="AB170" s="410"/>
      <c r="AC170" s="410"/>
      <c r="AD170" s="410"/>
      <c r="AE170" s="410"/>
      <c r="AF170" s="410"/>
      <c r="AG170" s="410"/>
      <c r="AH170" s="410"/>
    </row>
    <row r="171" spans="1:34">
      <c r="A171" s="410"/>
      <c r="B171" s="410"/>
      <c r="C171" s="410"/>
      <c r="D171" s="410"/>
      <c r="E171" s="410"/>
      <c r="F171" s="410"/>
      <c r="G171" s="410"/>
      <c r="H171" s="410"/>
      <c r="I171" s="410"/>
      <c r="J171" s="410"/>
      <c r="K171" s="410"/>
      <c r="L171" s="410"/>
      <c r="M171" s="410"/>
      <c r="N171" s="410"/>
      <c r="O171" s="410"/>
      <c r="P171" s="410"/>
      <c r="Q171" s="410"/>
      <c r="R171" s="410"/>
      <c r="S171" s="410"/>
      <c r="T171" s="410"/>
      <c r="U171" s="410"/>
      <c r="V171" s="410"/>
      <c r="W171" s="410"/>
      <c r="X171" s="410"/>
      <c r="Y171" s="410"/>
      <c r="Z171" s="410"/>
      <c r="AA171" s="410"/>
      <c r="AB171" s="410"/>
      <c r="AC171" s="410"/>
      <c r="AD171" s="410"/>
      <c r="AE171" s="410"/>
      <c r="AF171" s="410"/>
      <c r="AG171" s="410"/>
      <c r="AH171" s="410"/>
    </row>
    <row r="172" spans="1:34">
      <c r="A172" s="410"/>
      <c r="B172" s="410"/>
      <c r="C172" s="410"/>
      <c r="D172" s="410"/>
      <c r="E172" s="410"/>
      <c r="F172" s="410"/>
      <c r="G172" s="410"/>
      <c r="H172" s="410"/>
      <c r="I172" s="410"/>
      <c r="J172" s="410"/>
      <c r="K172" s="410"/>
      <c r="L172" s="410"/>
      <c r="M172" s="410"/>
      <c r="N172" s="410"/>
      <c r="O172" s="410"/>
      <c r="P172" s="410"/>
      <c r="Q172" s="410"/>
      <c r="R172" s="410"/>
      <c r="S172" s="410"/>
      <c r="T172" s="410"/>
      <c r="U172" s="410"/>
      <c r="V172" s="410"/>
      <c r="W172" s="410"/>
      <c r="X172" s="410"/>
      <c r="Y172" s="410"/>
      <c r="Z172" s="410"/>
      <c r="AA172" s="410"/>
      <c r="AB172" s="410"/>
      <c r="AC172" s="410"/>
      <c r="AD172" s="410"/>
      <c r="AE172" s="410"/>
      <c r="AF172" s="410"/>
      <c r="AG172" s="410"/>
      <c r="AH172" s="410"/>
    </row>
    <row r="173" spans="1:34">
      <c r="A173" s="410"/>
      <c r="B173" s="410"/>
      <c r="C173" s="410"/>
      <c r="D173" s="410"/>
      <c r="E173" s="410"/>
      <c r="F173" s="410"/>
      <c r="G173" s="410"/>
      <c r="H173" s="410"/>
      <c r="I173" s="410"/>
      <c r="J173" s="410"/>
      <c r="K173" s="410"/>
      <c r="L173" s="410"/>
      <c r="M173" s="410"/>
      <c r="N173" s="410"/>
      <c r="O173" s="410"/>
      <c r="P173" s="410"/>
      <c r="Q173" s="410"/>
      <c r="R173" s="410"/>
      <c r="S173" s="410"/>
      <c r="T173" s="410"/>
      <c r="U173" s="410"/>
      <c r="V173" s="410"/>
      <c r="W173" s="410"/>
      <c r="X173" s="410"/>
      <c r="Y173" s="410"/>
      <c r="Z173" s="410"/>
      <c r="AA173" s="410"/>
      <c r="AB173" s="410"/>
      <c r="AC173" s="410"/>
      <c r="AD173" s="410"/>
      <c r="AE173" s="410"/>
      <c r="AF173" s="410"/>
      <c r="AG173" s="410"/>
      <c r="AH173" s="410"/>
    </row>
    <row r="174" spans="1:34">
      <c r="A174" s="410"/>
      <c r="B174" s="410"/>
      <c r="C174" s="410"/>
      <c r="D174" s="410"/>
      <c r="E174" s="410"/>
      <c r="F174" s="410"/>
      <c r="G174" s="410"/>
      <c r="H174" s="410"/>
      <c r="I174" s="410"/>
      <c r="J174" s="410"/>
      <c r="K174" s="410"/>
      <c r="L174" s="410"/>
      <c r="M174" s="410"/>
      <c r="N174" s="410"/>
      <c r="O174" s="410"/>
      <c r="P174" s="410"/>
      <c r="Q174" s="410"/>
      <c r="R174" s="410"/>
      <c r="S174" s="410"/>
      <c r="T174" s="410"/>
      <c r="U174" s="410"/>
      <c r="V174" s="410"/>
      <c r="W174" s="410"/>
      <c r="X174" s="410"/>
      <c r="Y174" s="410"/>
      <c r="Z174" s="410"/>
      <c r="AA174" s="410"/>
      <c r="AB174" s="410"/>
      <c r="AC174" s="410"/>
      <c r="AD174" s="410"/>
      <c r="AE174" s="410"/>
      <c r="AF174" s="410"/>
      <c r="AG174" s="410"/>
      <c r="AH174" s="410"/>
    </row>
    <row r="175" spans="1:34">
      <c r="A175" s="410"/>
      <c r="B175" s="410"/>
      <c r="C175" s="410"/>
      <c r="D175" s="410"/>
      <c r="E175" s="410"/>
      <c r="F175" s="410"/>
      <c r="G175" s="410"/>
      <c r="H175" s="410"/>
      <c r="I175" s="410"/>
      <c r="J175" s="410"/>
      <c r="K175" s="410"/>
      <c r="L175" s="410"/>
      <c r="M175" s="410"/>
      <c r="N175" s="410"/>
      <c r="O175" s="410"/>
      <c r="P175" s="410"/>
      <c r="Q175" s="410"/>
      <c r="R175" s="410"/>
      <c r="S175" s="410"/>
      <c r="T175" s="410"/>
      <c r="U175" s="410"/>
      <c r="V175" s="410"/>
      <c r="W175" s="410"/>
      <c r="X175" s="410"/>
      <c r="Y175" s="410"/>
      <c r="Z175" s="410"/>
      <c r="AA175" s="410"/>
      <c r="AB175" s="410"/>
      <c r="AC175" s="410"/>
      <c r="AD175" s="410"/>
      <c r="AE175" s="410"/>
      <c r="AF175" s="410"/>
      <c r="AG175" s="410"/>
      <c r="AH175" s="410"/>
    </row>
    <row r="176" spans="1:34">
      <c r="A176" s="410"/>
      <c r="B176" s="410"/>
      <c r="C176" s="410"/>
      <c r="D176" s="410"/>
      <c r="E176" s="410"/>
      <c r="F176" s="410"/>
      <c r="G176" s="410"/>
      <c r="H176" s="410"/>
      <c r="I176" s="410"/>
      <c r="J176" s="410"/>
      <c r="K176" s="410"/>
      <c r="L176" s="410"/>
      <c r="M176" s="410"/>
      <c r="N176" s="410"/>
      <c r="O176" s="410"/>
      <c r="P176" s="410"/>
      <c r="Q176" s="410"/>
      <c r="R176" s="410"/>
      <c r="S176" s="410"/>
      <c r="T176" s="410"/>
      <c r="U176" s="410"/>
      <c r="V176" s="410"/>
      <c r="W176" s="410"/>
      <c r="X176" s="410"/>
      <c r="Y176" s="410"/>
      <c r="Z176" s="410"/>
      <c r="AA176" s="410"/>
      <c r="AB176" s="410"/>
      <c r="AC176" s="410"/>
      <c r="AD176" s="410"/>
      <c r="AE176" s="410"/>
      <c r="AF176" s="410"/>
      <c r="AG176" s="410"/>
      <c r="AH176" s="410"/>
    </row>
    <row r="177" spans="1:34">
      <c r="A177" s="410"/>
      <c r="B177" s="410"/>
      <c r="C177" s="410"/>
      <c r="D177" s="410"/>
      <c r="E177" s="410"/>
      <c r="F177" s="410"/>
      <c r="G177" s="410"/>
      <c r="H177" s="410"/>
      <c r="I177" s="410"/>
      <c r="J177" s="410"/>
      <c r="K177" s="410"/>
      <c r="L177" s="410"/>
      <c r="M177" s="410"/>
      <c r="N177" s="410"/>
      <c r="O177" s="410"/>
      <c r="P177" s="410"/>
      <c r="Q177" s="410"/>
      <c r="R177" s="410"/>
      <c r="S177" s="410"/>
      <c r="T177" s="410"/>
      <c r="U177" s="410"/>
      <c r="V177" s="410"/>
      <c r="W177" s="410"/>
      <c r="X177" s="410"/>
      <c r="Y177" s="410"/>
      <c r="Z177" s="410"/>
      <c r="AA177" s="410"/>
      <c r="AB177" s="410"/>
      <c r="AC177" s="410"/>
      <c r="AD177" s="410"/>
      <c r="AE177" s="410"/>
      <c r="AF177" s="410"/>
      <c r="AG177" s="410"/>
      <c r="AH177" s="410"/>
    </row>
    <row r="178" spans="1:34">
      <c r="A178" s="410"/>
      <c r="B178" s="410"/>
      <c r="C178" s="410"/>
      <c r="D178" s="410"/>
      <c r="E178" s="410"/>
      <c r="F178" s="410"/>
      <c r="G178" s="410"/>
      <c r="H178" s="410"/>
      <c r="I178" s="410"/>
      <c r="J178" s="410"/>
      <c r="K178" s="410"/>
      <c r="L178" s="410"/>
      <c r="M178" s="410"/>
      <c r="N178" s="410"/>
      <c r="O178" s="410"/>
      <c r="P178" s="410"/>
      <c r="Q178" s="410"/>
      <c r="R178" s="410"/>
      <c r="S178" s="410"/>
      <c r="T178" s="410"/>
      <c r="U178" s="410"/>
      <c r="V178" s="410"/>
      <c r="W178" s="410"/>
      <c r="X178" s="410"/>
      <c r="Y178" s="410"/>
      <c r="Z178" s="410"/>
      <c r="AA178" s="410"/>
      <c r="AB178" s="410"/>
      <c r="AC178" s="410"/>
      <c r="AD178" s="410"/>
      <c r="AE178" s="410"/>
      <c r="AF178" s="410"/>
      <c r="AG178" s="410"/>
      <c r="AH178" s="410"/>
    </row>
    <row r="179" spans="1:34">
      <c r="A179" s="410"/>
      <c r="B179" s="410"/>
      <c r="C179" s="410"/>
      <c r="D179" s="410"/>
      <c r="E179" s="410"/>
      <c r="F179" s="410"/>
      <c r="G179" s="410"/>
      <c r="H179" s="410"/>
      <c r="I179" s="410"/>
      <c r="J179" s="410"/>
      <c r="K179" s="410"/>
      <c r="L179" s="410"/>
      <c r="M179" s="410"/>
      <c r="N179" s="410"/>
      <c r="O179" s="410"/>
      <c r="P179" s="410"/>
      <c r="Q179" s="410"/>
      <c r="R179" s="410"/>
      <c r="S179" s="410"/>
      <c r="T179" s="410"/>
      <c r="U179" s="410"/>
      <c r="V179" s="410"/>
      <c r="W179" s="410"/>
      <c r="X179" s="410"/>
      <c r="Y179" s="410"/>
      <c r="Z179" s="410"/>
      <c r="AA179" s="410"/>
      <c r="AB179" s="410"/>
      <c r="AC179" s="410"/>
      <c r="AD179" s="410"/>
      <c r="AE179" s="410"/>
      <c r="AF179" s="410"/>
      <c r="AG179" s="410"/>
      <c r="AH179" s="410"/>
    </row>
    <row r="180" spans="1:34">
      <c r="A180" s="410"/>
      <c r="B180" s="410"/>
      <c r="C180" s="410"/>
      <c r="D180" s="410"/>
      <c r="E180" s="410"/>
      <c r="F180" s="410"/>
      <c r="G180" s="410"/>
      <c r="H180" s="410"/>
      <c r="I180" s="410"/>
      <c r="J180" s="410"/>
      <c r="K180" s="410"/>
      <c r="L180" s="410"/>
      <c r="M180" s="410"/>
      <c r="N180" s="410"/>
      <c r="O180" s="410"/>
      <c r="P180" s="410"/>
      <c r="Q180" s="410"/>
      <c r="R180" s="410"/>
      <c r="S180" s="410"/>
      <c r="T180" s="410"/>
      <c r="U180" s="410"/>
      <c r="V180" s="410"/>
      <c r="W180" s="410"/>
      <c r="X180" s="410"/>
      <c r="Y180" s="410"/>
      <c r="Z180" s="410"/>
      <c r="AA180" s="410"/>
      <c r="AB180" s="410"/>
      <c r="AC180" s="410"/>
      <c r="AD180" s="410"/>
      <c r="AE180" s="410"/>
      <c r="AF180" s="410"/>
      <c r="AG180" s="410"/>
      <c r="AH180" s="410"/>
    </row>
    <row r="181" spans="1:34">
      <c r="A181" s="410"/>
      <c r="B181" s="410"/>
      <c r="C181" s="410"/>
      <c r="D181" s="410"/>
      <c r="E181" s="410"/>
      <c r="F181" s="410"/>
      <c r="G181" s="410"/>
      <c r="H181" s="410"/>
      <c r="I181" s="410"/>
      <c r="J181" s="410"/>
      <c r="K181" s="410"/>
      <c r="L181" s="410"/>
      <c r="M181" s="410"/>
      <c r="N181" s="410"/>
      <c r="O181" s="410"/>
      <c r="P181" s="410"/>
      <c r="Q181" s="410"/>
      <c r="R181" s="410"/>
      <c r="S181" s="410"/>
      <c r="T181" s="410"/>
      <c r="U181" s="410"/>
      <c r="V181" s="410"/>
      <c r="W181" s="410"/>
      <c r="X181" s="410"/>
      <c r="Y181" s="410"/>
      <c r="Z181" s="410"/>
      <c r="AA181" s="410"/>
      <c r="AB181" s="410"/>
      <c r="AC181" s="410"/>
      <c r="AD181" s="410"/>
      <c r="AE181" s="410"/>
      <c r="AF181" s="410"/>
      <c r="AG181" s="410"/>
      <c r="AH181" s="410"/>
    </row>
    <row r="182" spans="1:34">
      <c r="A182" s="410"/>
      <c r="B182" s="410"/>
      <c r="C182" s="410"/>
      <c r="D182" s="410"/>
      <c r="E182" s="410"/>
      <c r="F182" s="410"/>
      <c r="G182" s="410"/>
      <c r="H182" s="410"/>
      <c r="I182" s="410"/>
      <c r="J182" s="410"/>
      <c r="K182" s="410"/>
      <c r="L182" s="410"/>
      <c r="M182" s="410"/>
      <c r="N182" s="410"/>
      <c r="O182" s="410"/>
      <c r="P182" s="410"/>
      <c r="Q182" s="410"/>
      <c r="R182" s="410"/>
      <c r="S182" s="410"/>
      <c r="T182" s="410"/>
      <c r="U182" s="410"/>
      <c r="V182" s="410"/>
      <c r="W182" s="410"/>
      <c r="X182" s="410"/>
      <c r="Y182" s="410"/>
      <c r="Z182" s="410"/>
      <c r="AA182" s="410"/>
      <c r="AB182" s="410"/>
      <c r="AC182" s="410"/>
      <c r="AD182" s="410"/>
      <c r="AE182" s="410"/>
      <c r="AF182" s="410"/>
      <c r="AG182" s="410"/>
      <c r="AH182" s="410"/>
    </row>
    <row r="183" spans="1:34">
      <c r="A183" s="410"/>
      <c r="B183" s="410"/>
      <c r="C183" s="410"/>
      <c r="D183" s="410"/>
      <c r="E183" s="410"/>
      <c r="F183" s="410"/>
      <c r="G183" s="410"/>
      <c r="H183" s="410"/>
      <c r="I183" s="410"/>
      <c r="J183" s="410"/>
      <c r="K183" s="410"/>
      <c r="L183" s="410"/>
      <c r="M183" s="410"/>
      <c r="N183" s="410"/>
      <c r="O183" s="410"/>
      <c r="P183" s="410"/>
      <c r="Q183" s="410"/>
      <c r="R183" s="410"/>
      <c r="S183" s="410"/>
      <c r="T183" s="410"/>
      <c r="U183" s="410"/>
      <c r="V183" s="410"/>
      <c r="W183" s="410"/>
      <c r="X183" s="410"/>
      <c r="Y183" s="410"/>
      <c r="Z183" s="410"/>
      <c r="AA183" s="410"/>
      <c r="AB183" s="410"/>
      <c r="AC183" s="410"/>
      <c r="AD183" s="410"/>
      <c r="AE183" s="410"/>
      <c r="AF183" s="410"/>
      <c r="AG183" s="410"/>
      <c r="AH183" s="410"/>
    </row>
    <row r="184" spans="1:34">
      <c r="A184" s="410"/>
      <c r="B184" s="410"/>
      <c r="C184" s="410"/>
      <c r="D184" s="410"/>
      <c r="E184" s="410"/>
      <c r="F184" s="410"/>
      <c r="G184" s="410"/>
      <c r="H184" s="410"/>
      <c r="I184" s="410"/>
      <c r="J184" s="410"/>
      <c r="K184" s="410"/>
      <c r="L184" s="410"/>
      <c r="M184" s="410"/>
      <c r="N184" s="410"/>
      <c r="O184" s="410"/>
      <c r="P184" s="410"/>
      <c r="Q184" s="410"/>
      <c r="R184" s="410"/>
      <c r="S184" s="410"/>
      <c r="T184" s="410"/>
      <c r="U184" s="410"/>
      <c r="V184" s="410"/>
      <c r="W184" s="410"/>
      <c r="X184" s="410"/>
      <c r="Y184" s="410"/>
      <c r="Z184" s="410"/>
      <c r="AA184" s="410"/>
      <c r="AB184" s="410"/>
      <c r="AC184" s="410"/>
      <c r="AD184" s="410"/>
      <c r="AE184" s="410"/>
      <c r="AF184" s="410"/>
      <c r="AG184" s="410"/>
      <c r="AH184" s="410"/>
    </row>
    <row r="185" spans="1:34">
      <c r="A185" s="410"/>
      <c r="B185" s="410"/>
      <c r="C185" s="410"/>
      <c r="D185" s="410"/>
      <c r="E185" s="410"/>
      <c r="F185" s="410"/>
      <c r="G185" s="410"/>
      <c r="H185" s="410"/>
      <c r="I185" s="410"/>
      <c r="J185" s="410"/>
      <c r="K185" s="410"/>
      <c r="L185" s="410"/>
      <c r="M185" s="410"/>
      <c r="N185" s="410"/>
      <c r="O185" s="410"/>
      <c r="P185" s="410"/>
      <c r="Q185" s="410"/>
      <c r="R185" s="410"/>
      <c r="S185" s="410"/>
      <c r="T185" s="410"/>
      <c r="U185" s="410"/>
      <c r="V185" s="410"/>
      <c r="W185" s="410"/>
      <c r="X185" s="410"/>
      <c r="Y185" s="410"/>
      <c r="Z185" s="410"/>
      <c r="AA185" s="410"/>
      <c r="AB185" s="410"/>
      <c r="AC185" s="410"/>
      <c r="AD185" s="410"/>
      <c r="AE185" s="410"/>
      <c r="AF185" s="410"/>
      <c r="AG185" s="410"/>
      <c r="AH185" s="410"/>
    </row>
    <row r="186" spans="1:34">
      <c r="A186" s="410"/>
      <c r="B186" s="410"/>
      <c r="C186" s="410"/>
      <c r="D186" s="410"/>
      <c r="E186" s="410"/>
      <c r="F186" s="410"/>
      <c r="G186" s="410"/>
      <c r="H186" s="410"/>
      <c r="I186" s="410"/>
      <c r="J186" s="410"/>
      <c r="K186" s="410"/>
      <c r="L186" s="410"/>
      <c r="M186" s="410"/>
      <c r="N186" s="410"/>
      <c r="O186" s="410"/>
      <c r="P186" s="410"/>
      <c r="Q186" s="410"/>
      <c r="R186" s="410"/>
      <c r="S186" s="410"/>
      <c r="T186" s="410"/>
      <c r="U186" s="410"/>
      <c r="V186" s="410"/>
      <c r="W186" s="410"/>
      <c r="X186" s="410"/>
      <c r="Y186" s="410"/>
      <c r="Z186" s="410"/>
      <c r="AA186" s="410"/>
      <c r="AB186" s="410"/>
      <c r="AC186" s="410"/>
      <c r="AD186" s="410"/>
      <c r="AE186" s="410"/>
      <c r="AF186" s="410"/>
      <c r="AG186" s="410"/>
      <c r="AH186" s="410"/>
    </row>
    <row r="187" spans="1:34">
      <c r="A187" s="410"/>
      <c r="B187" s="410"/>
      <c r="C187" s="410"/>
      <c r="D187" s="410"/>
      <c r="E187" s="410"/>
      <c r="F187" s="410"/>
      <c r="G187" s="410"/>
      <c r="H187" s="410"/>
      <c r="I187" s="410"/>
      <c r="J187" s="410"/>
      <c r="K187" s="410"/>
      <c r="L187" s="410"/>
      <c r="M187" s="410"/>
      <c r="N187" s="410"/>
      <c r="O187" s="410"/>
      <c r="P187" s="410"/>
      <c r="Q187" s="410"/>
      <c r="R187" s="410"/>
      <c r="S187" s="410"/>
      <c r="T187" s="410"/>
      <c r="U187" s="410"/>
      <c r="V187" s="410"/>
      <c r="W187" s="410"/>
      <c r="X187" s="410"/>
      <c r="Y187" s="410"/>
      <c r="Z187" s="410"/>
      <c r="AA187" s="410"/>
      <c r="AB187" s="410"/>
      <c r="AC187" s="410"/>
      <c r="AD187" s="410"/>
      <c r="AE187" s="410"/>
      <c r="AF187" s="410"/>
      <c r="AG187" s="410"/>
      <c r="AH187" s="410"/>
    </row>
    <row r="188" spans="1:34">
      <c r="A188" s="410"/>
      <c r="B188" s="410"/>
      <c r="C188" s="410"/>
      <c r="D188" s="410"/>
      <c r="E188" s="410"/>
      <c r="F188" s="410"/>
      <c r="G188" s="410"/>
      <c r="H188" s="410"/>
      <c r="I188" s="410"/>
      <c r="J188" s="410"/>
      <c r="K188" s="410"/>
      <c r="L188" s="410"/>
      <c r="M188" s="410"/>
      <c r="N188" s="410"/>
      <c r="O188" s="410"/>
      <c r="P188" s="410"/>
      <c r="Q188" s="410"/>
      <c r="R188" s="410"/>
      <c r="S188" s="410"/>
      <c r="T188" s="410"/>
      <c r="U188" s="410"/>
      <c r="V188" s="410"/>
      <c r="W188" s="410"/>
      <c r="X188" s="410"/>
      <c r="Y188" s="410"/>
      <c r="Z188" s="410"/>
      <c r="AA188" s="410"/>
      <c r="AB188" s="410"/>
      <c r="AC188" s="410"/>
      <c r="AD188" s="410"/>
      <c r="AE188" s="410"/>
      <c r="AF188" s="410"/>
      <c r="AG188" s="410"/>
      <c r="AH188" s="410"/>
    </row>
    <row r="189" spans="1:34">
      <c r="A189" s="410"/>
      <c r="B189" s="410"/>
      <c r="C189" s="410"/>
      <c r="D189" s="410"/>
      <c r="E189" s="410"/>
      <c r="F189" s="410"/>
      <c r="G189" s="410"/>
      <c r="H189" s="410"/>
      <c r="I189" s="410"/>
      <c r="J189" s="410"/>
      <c r="K189" s="410"/>
      <c r="L189" s="410"/>
      <c r="M189" s="410"/>
      <c r="N189" s="410"/>
      <c r="O189" s="410"/>
      <c r="P189" s="410"/>
      <c r="Q189" s="410"/>
      <c r="R189" s="410"/>
      <c r="S189" s="410"/>
      <c r="T189" s="410"/>
      <c r="U189" s="410"/>
      <c r="V189" s="410"/>
      <c r="W189" s="410"/>
      <c r="X189" s="410"/>
      <c r="Y189" s="410"/>
      <c r="Z189" s="410"/>
      <c r="AA189" s="410"/>
      <c r="AB189" s="410"/>
      <c r="AC189" s="410"/>
      <c r="AD189" s="410"/>
      <c r="AE189" s="410"/>
      <c r="AF189" s="410"/>
      <c r="AG189" s="410"/>
      <c r="AH189" s="410"/>
    </row>
    <row r="190" spans="1:34">
      <c r="A190" s="410"/>
      <c r="B190" s="410"/>
      <c r="C190" s="410"/>
      <c r="D190" s="410"/>
      <c r="E190" s="410"/>
      <c r="F190" s="410"/>
      <c r="G190" s="410"/>
      <c r="H190" s="410"/>
      <c r="I190" s="410"/>
      <c r="J190" s="410"/>
      <c r="K190" s="410"/>
      <c r="L190" s="410"/>
      <c r="M190" s="410"/>
      <c r="N190" s="410"/>
      <c r="O190" s="410"/>
      <c r="P190" s="410"/>
      <c r="Q190" s="410"/>
      <c r="R190" s="410"/>
      <c r="S190" s="410"/>
      <c r="T190" s="410"/>
      <c r="U190" s="410"/>
      <c r="V190" s="410"/>
      <c r="W190" s="410"/>
      <c r="X190" s="410"/>
      <c r="Y190" s="410"/>
      <c r="Z190" s="410"/>
      <c r="AA190" s="410"/>
      <c r="AB190" s="410"/>
      <c r="AC190" s="410"/>
      <c r="AD190" s="410"/>
      <c r="AE190" s="410"/>
      <c r="AF190" s="410"/>
      <c r="AG190" s="410"/>
      <c r="AH190" s="410"/>
    </row>
    <row r="191" spans="1:34">
      <c r="A191" s="410"/>
      <c r="B191" s="410"/>
      <c r="C191" s="410"/>
      <c r="D191" s="410"/>
      <c r="E191" s="410"/>
      <c r="F191" s="410"/>
      <c r="G191" s="410"/>
      <c r="H191" s="410"/>
      <c r="I191" s="410"/>
      <c r="J191" s="410"/>
      <c r="K191" s="410"/>
      <c r="L191" s="410"/>
      <c r="M191" s="410"/>
      <c r="N191" s="410"/>
      <c r="O191" s="410"/>
      <c r="P191" s="410"/>
      <c r="Q191" s="410"/>
      <c r="R191" s="410"/>
      <c r="S191" s="410"/>
      <c r="T191" s="410"/>
      <c r="U191" s="410"/>
      <c r="V191" s="410"/>
      <c r="W191" s="410"/>
      <c r="X191" s="410"/>
      <c r="Y191" s="410"/>
      <c r="Z191" s="410"/>
      <c r="AA191" s="410"/>
      <c r="AB191" s="410"/>
      <c r="AC191" s="410"/>
      <c r="AD191" s="410"/>
      <c r="AE191" s="410"/>
      <c r="AF191" s="410"/>
      <c r="AG191" s="410"/>
      <c r="AH191" s="410"/>
    </row>
    <row r="192" spans="1:34">
      <c r="A192" s="410"/>
      <c r="B192" s="410"/>
      <c r="C192" s="410"/>
      <c r="D192" s="410"/>
      <c r="E192" s="410"/>
      <c r="F192" s="410"/>
      <c r="G192" s="410"/>
      <c r="H192" s="410"/>
      <c r="I192" s="410"/>
      <c r="J192" s="410"/>
      <c r="K192" s="410"/>
      <c r="L192" s="410"/>
      <c r="M192" s="410"/>
      <c r="N192" s="410"/>
      <c r="O192" s="410"/>
      <c r="P192" s="410"/>
      <c r="Q192" s="410"/>
      <c r="R192" s="410"/>
      <c r="S192" s="410"/>
      <c r="T192" s="410"/>
      <c r="U192" s="410"/>
      <c r="V192" s="410"/>
      <c r="W192" s="410"/>
      <c r="X192" s="410"/>
      <c r="Y192" s="410"/>
      <c r="Z192" s="410"/>
      <c r="AA192" s="410"/>
      <c r="AB192" s="410"/>
      <c r="AC192" s="410"/>
      <c r="AD192" s="410"/>
      <c r="AE192" s="410"/>
      <c r="AF192" s="410"/>
      <c r="AG192" s="410"/>
      <c r="AH192" s="410"/>
    </row>
    <row r="193" spans="1:34">
      <c r="A193" s="410"/>
      <c r="B193" s="410"/>
      <c r="C193" s="410"/>
      <c r="D193" s="410"/>
      <c r="E193" s="410"/>
      <c r="F193" s="410"/>
      <c r="G193" s="410"/>
      <c r="H193" s="410"/>
      <c r="I193" s="410"/>
      <c r="J193" s="410"/>
      <c r="K193" s="410"/>
      <c r="L193" s="410"/>
      <c r="M193" s="410"/>
      <c r="N193" s="410"/>
      <c r="O193" s="410"/>
      <c r="P193" s="410"/>
      <c r="Q193" s="410"/>
      <c r="R193" s="410"/>
      <c r="S193" s="410"/>
      <c r="T193" s="410"/>
      <c r="U193" s="410"/>
      <c r="V193" s="410"/>
      <c r="W193" s="410"/>
      <c r="X193" s="410"/>
      <c r="Y193" s="410"/>
      <c r="Z193" s="410"/>
      <c r="AA193" s="410"/>
      <c r="AB193" s="410"/>
      <c r="AC193" s="410"/>
      <c r="AD193" s="410"/>
      <c r="AE193" s="410"/>
      <c r="AF193" s="410"/>
      <c r="AG193" s="410"/>
      <c r="AH193" s="410"/>
    </row>
    <row r="194" spans="1:34">
      <c r="A194" s="410"/>
      <c r="B194" s="410"/>
      <c r="C194" s="410"/>
      <c r="D194" s="410"/>
      <c r="E194" s="410"/>
      <c r="F194" s="410"/>
      <c r="G194" s="410"/>
      <c r="H194" s="410"/>
      <c r="I194" s="410"/>
      <c r="J194" s="410"/>
      <c r="K194" s="410"/>
      <c r="L194" s="410"/>
      <c r="M194" s="410"/>
      <c r="N194" s="410"/>
      <c r="O194" s="410"/>
      <c r="P194" s="410"/>
      <c r="Q194" s="410"/>
      <c r="R194" s="410"/>
      <c r="S194" s="410"/>
      <c r="T194" s="410"/>
      <c r="U194" s="410"/>
      <c r="V194" s="410"/>
      <c r="W194" s="410"/>
      <c r="X194" s="410"/>
      <c r="Y194" s="410"/>
      <c r="Z194" s="410"/>
      <c r="AA194" s="410"/>
      <c r="AB194" s="410"/>
      <c r="AC194" s="410"/>
      <c r="AD194" s="410"/>
      <c r="AE194" s="410"/>
      <c r="AF194" s="410"/>
      <c r="AG194" s="410"/>
      <c r="AH194" s="410"/>
    </row>
    <row r="195" spans="1:34">
      <c r="A195" s="410"/>
      <c r="B195" s="410"/>
      <c r="C195" s="410"/>
      <c r="D195" s="410"/>
      <c r="E195" s="410"/>
      <c r="F195" s="410"/>
      <c r="G195" s="410"/>
      <c r="H195" s="410"/>
      <c r="I195" s="410"/>
      <c r="J195" s="410"/>
      <c r="K195" s="410"/>
      <c r="L195" s="410"/>
      <c r="M195" s="410"/>
      <c r="N195" s="410"/>
      <c r="O195" s="410"/>
      <c r="P195" s="410"/>
      <c r="Q195" s="410"/>
      <c r="R195" s="410"/>
      <c r="S195" s="410"/>
      <c r="T195" s="410"/>
      <c r="U195" s="410"/>
      <c r="V195" s="410"/>
      <c r="W195" s="410"/>
      <c r="X195" s="410"/>
      <c r="Y195" s="410"/>
      <c r="Z195" s="410"/>
      <c r="AA195" s="410"/>
      <c r="AB195" s="410"/>
      <c r="AC195" s="410"/>
      <c r="AD195" s="410"/>
      <c r="AE195" s="410"/>
      <c r="AF195" s="410"/>
      <c r="AG195" s="410"/>
      <c r="AH195" s="410"/>
    </row>
    <row r="196" spans="1:34">
      <c r="A196" s="410"/>
      <c r="B196" s="410"/>
      <c r="C196" s="410"/>
      <c r="D196" s="410"/>
      <c r="E196" s="410"/>
      <c r="F196" s="410"/>
      <c r="G196" s="410"/>
      <c r="H196" s="410"/>
      <c r="I196" s="410"/>
      <c r="J196" s="410"/>
      <c r="K196" s="410"/>
      <c r="L196" s="410"/>
      <c r="M196" s="410"/>
      <c r="N196" s="410"/>
      <c r="O196" s="410"/>
      <c r="P196" s="410"/>
      <c r="Q196" s="410"/>
      <c r="R196" s="410"/>
      <c r="S196" s="410"/>
      <c r="T196" s="410"/>
      <c r="U196" s="410"/>
      <c r="V196" s="410"/>
      <c r="W196" s="410"/>
      <c r="X196" s="410"/>
      <c r="Y196" s="410"/>
      <c r="Z196" s="410"/>
      <c r="AA196" s="410"/>
      <c r="AB196" s="410"/>
      <c r="AC196" s="410"/>
      <c r="AD196" s="410"/>
      <c r="AE196" s="410"/>
      <c r="AF196" s="410"/>
      <c r="AG196" s="410"/>
      <c r="AH196" s="410"/>
    </row>
    <row r="197" spans="1:34">
      <c r="A197" s="410"/>
      <c r="B197" s="410"/>
      <c r="C197" s="410"/>
      <c r="D197" s="410"/>
      <c r="E197" s="410"/>
      <c r="F197" s="410"/>
      <c r="G197" s="410"/>
      <c r="H197" s="410"/>
      <c r="I197" s="410"/>
      <c r="J197" s="410"/>
      <c r="K197" s="410"/>
      <c r="L197" s="410"/>
      <c r="M197" s="410"/>
      <c r="N197" s="410"/>
      <c r="O197" s="410"/>
      <c r="P197" s="410"/>
      <c r="Q197" s="410"/>
      <c r="R197" s="410"/>
      <c r="S197" s="410"/>
      <c r="T197" s="410"/>
      <c r="U197" s="410"/>
      <c r="V197" s="410"/>
      <c r="W197" s="410"/>
      <c r="X197" s="410"/>
      <c r="Y197" s="410"/>
      <c r="Z197" s="410"/>
      <c r="AA197" s="410"/>
      <c r="AB197" s="410"/>
      <c r="AC197" s="410"/>
      <c r="AD197" s="410"/>
      <c r="AE197" s="410"/>
      <c r="AF197" s="410"/>
      <c r="AG197" s="410"/>
      <c r="AH197" s="410"/>
    </row>
    <row r="198" spans="1:34">
      <c r="A198" s="410"/>
      <c r="B198" s="410"/>
      <c r="C198" s="410"/>
      <c r="D198" s="410"/>
      <c r="E198" s="410"/>
      <c r="F198" s="410"/>
      <c r="G198" s="410"/>
      <c r="H198" s="410"/>
      <c r="I198" s="410"/>
      <c r="J198" s="410"/>
      <c r="K198" s="410"/>
      <c r="L198" s="410"/>
      <c r="M198" s="410"/>
      <c r="N198" s="410"/>
      <c r="O198" s="410"/>
      <c r="P198" s="410"/>
      <c r="Q198" s="410"/>
      <c r="R198" s="410"/>
      <c r="S198" s="410"/>
      <c r="T198" s="410"/>
      <c r="U198" s="410"/>
      <c r="V198" s="410"/>
      <c r="W198" s="410"/>
      <c r="X198" s="410"/>
      <c r="Y198" s="410"/>
      <c r="Z198" s="410"/>
      <c r="AA198" s="410"/>
      <c r="AB198" s="410"/>
      <c r="AC198" s="410"/>
      <c r="AD198" s="410"/>
      <c r="AE198" s="410"/>
      <c r="AF198" s="410"/>
      <c r="AG198" s="410"/>
      <c r="AH198" s="410"/>
    </row>
    <row r="199" spans="1:34">
      <c r="A199" s="410"/>
      <c r="B199" s="410"/>
      <c r="C199" s="410"/>
      <c r="D199" s="410"/>
      <c r="E199" s="410"/>
      <c r="F199" s="410"/>
      <c r="G199" s="410"/>
      <c r="H199" s="410"/>
      <c r="I199" s="410"/>
      <c r="J199" s="410"/>
      <c r="K199" s="410"/>
      <c r="L199" s="410"/>
      <c r="M199" s="410"/>
      <c r="N199" s="410"/>
      <c r="O199" s="410"/>
      <c r="P199" s="410"/>
      <c r="Q199" s="410"/>
      <c r="R199" s="410"/>
      <c r="S199" s="410"/>
      <c r="T199" s="410"/>
      <c r="U199" s="410"/>
      <c r="V199" s="410"/>
      <c r="W199" s="410"/>
      <c r="X199" s="410"/>
      <c r="Y199" s="410"/>
      <c r="Z199" s="410"/>
      <c r="AA199" s="410"/>
      <c r="AB199" s="410"/>
      <c r="AC199" s="410"/>
      <c r="AD199" s="410"/>
      <c r="AE199" s="410"/>
      <c r="AF199" s="410"/>
      <c r="AG199" s="410"/>
      <c r="AH199" s="410"/>
    </row>
    <row r="200" spans="1:34">
      <c r="A200" s="410"/>
      <c r="B200" s="410"/>
      <c r="C200" s="410"/>
      <c r="D200" s="410"/>
      <c r="E200" s="410"/>
      <c r="F200" s="410"/>
      <c r="G200" s="410"/>
      <c r="H200" s="410"/>
      <c r="I200" s="410"/>
      <c r="J200" s="410"/>
      <c r="K200" s="410"/>
      <c r="L200" s="410"/>
      <c r="M200" s="410"/>
      <c r="N200" s="410"/>
      <c r="O200" s="410"/>
      <c r="P200" s="410"/>
      <c r="Q200" s="410"/>
      <c r="R200" s="410"/>
      <c r="S200" s="410"/>
      <c r="T200" s="410"/>
      <c r="U200" s="410"/>
      <c r="V200" s="410"/>
      <c r="W200" s="410"/>
      <c r="X200" s="410"/>
      <c r="Y200" s="410"/>
      <c r="Z200" s="410"/>
      <c r="AA200" s="410"/>
      <c r="AB200" s="410"/>
      <c r="AC200" s="410"/>
      <c r="AD200" s="410"/>
      <c r="AE200" s="410"/>
      <c r="AF200" s="410"/>
      <c r="AG200" s="410"/>
      <c r="AH200" s="410"/>
    </row>
    <row r="201" spans="1:34">
      <c r="A201" s="410"/>
      <c r="B201" s="410"/>
      <c r="C201" s="410"/>
      <c r="D201" s="410"/>
      <c r="E201" s="410"/>
      <c r="F201" s="410"/>
      <c r="G201" s="410"/>
      <c r="H201" s="410"/>
      <c r="I201" s="410"/>
      <c r="J201" s="410"/>
      <c r="K201" s="410"/>
      <c r="L201" s="410"/>
      <c r="M201" s="410"/>
      <c r="N201" s="410"/>
      <c r="O201" s="410"/>
      <c r="P201" s="410"/>
      <c r="Q201" s="410"/>
      <c r="R201" s="410"/>
      <c r="S201" s="410"/>
      <c r="T201" s="410"/>
      <c r="U201" s="410"/>
      <c r="V201" s="410"/>
      <c r="W201" s="410"/>
      <c r="X201" s="410"/>
      <c r="Y201" s="410"/>
      <c r="Z201" s="410"/>
      <c r="AA201" s="410"/>
      <c r="AB201" s="410"/>
      <c r="AC201" s="410"/>
      <c r="AD201" s="410"/>
      <c r="AE201" s="410"/>
      <c r="AF201" s="410"/>
      <c r="AG201" s="410"/>
      <c r="AH201" s="410"/>
    </row>
    <row r="202" spans="1:34">
      <c r="A202" s="410"/>
      <c r="B202" s="410"/>
      <c r="C202" s="410"/>
      <c r="D202" s="410"/>
      <c r="E202" s="410"/>
      <c r="F202" s="410"/>
      <c r="G202" s="410"/>
      <c r="H202" s="410"/>
      <c r="I202" s="410"/>
      <c r="J202" s="410"/>
      <c r="K202" s="410"/>
      <c r="L202" s="410"/>
      <c r="M202" s="410"/>
      <c r="N202" s="410"/>
      <c r="O202" s="410"/>
      <c r="P202" s="410"/>
      <c r="Q202" s="410"/>
      <c r="R202" s="410"/>
      <c r="S202" s="410"/>
      <c r="T202" s="410"/>
      <c r="U202" s="410"/>
      <c r="V202" s="410"/>
      <c r="W202" s="410"/>
      <c r="X202" s="410"/>
      <c r="Y202" s="410"/>
      <c r="Z202" s="410"/>
      <c r="AA202" s="410"/>
      <c r="AB202" s="410"/>
      <c r="AC202" s="410"/>
      <c r="AD202" s="410"/>
      <c r="AE202" s="410"/>
      <c r="AF202" s="410"/>
      <c r="AG202" s="410"/>
      <c r="AH202" s="410"/>
    </row>
    <row r="203" spans="1:34">
      <c r="A203" s="410"/>
      <c r="B203" s="410"/>
      <c r="C203" s="410"/>
      <c r="D203" s="410"/>
      <c r="E203" s="410"/>
      <c r="F203" s="410"/>
      <c r="G203" s="410"/>
      <c r="H203" s="410"/>
      <c r="I203" s="410"/>
      <c r="J203" s="410"/>
      <c r="K203" s="410"/>
      <c r="L203" s="410"/>
      <c r="M203" s="410"/>
      <c r="N203" s="410"/>
      <c r="O203" s="410"/>
      <c r="P203" s="410"/>
      <c r="Q203" s="410"/>
      <c r="R203" s="410"/>
      <c r="S203" s="410"/>
      <c r="T203" s="410"/>
      <c r="U203" s="410"/>
      <c r="V203" s="410"/>
      <c r="W203" s="410"/>
      <c r="X203" s="410"/>
      <c r="Y203" s="410"/>
      <c r="Z203" s="410"/>
      <c r="AA203" s="410"/>
      <c r="AB203" s="410"/>
      <c r="AC203" s="410"/>
      <c r="AD203" s="410"/>
      <c r="AE203" s="410"/>
      <c r="AF203" s="410"/>
      <c r="AG203" s="410"/>
      <c r="AH203" s="410"/>
    </row>
    <row r="204" spans="1:34">
      <c r="A204" s="410"/>
      <c r="B204" s="410"/>
      <c r="C204" s="410"/>
      <c r="D204" s="410"/>
      <c r="E204" s="410"/>
      <c r="F204" s="410"/>
      <c r="G204" s="410"/>
      <c r="H204" s="410"/>
      <c r="I204" s="410"/>
      <c r="J204" s="410"/>
      <c r="K204" s="410"/>
      <c r="L204" s="410"/>
      <c r="M204" s="410"/>
      <c r="N204" s="410"/>
      <c r="O204" s="410"/>
      <c r="P204" s="410"/>
      <c r="Q204" s="410"/>
      <c r="R204" s="410"/>
      <c r="S204" s="410"/>
      <c r="T204" s="410"/>
      <c r="U204" s="410"/>
      <c r="V204" s="410"/>
      <c r="W204" s="410"/>
      <c r="X204" s="410"/>
      <c r="Y204" s="410"/>
      <c r="Z204" s="410"/>
      <c r="AA204" s="410"/>
      <c r="AB204" s="410"/>
      <c r="AC204" s="410"/>
      <c r="AD204" s="410"/>
      <c r="AE204" s="410"/>
      <c r="AF204" s="410"/>
      <c r="AG204" s="410"/>
      <c r="AH204" s="410"/>
    </row>
    <row r="205" spans="1:34">
      <c r="A205" s="410"/>
      <c r="B205" s="410"/>
      <c r="C205" s="410"/>
      <c r="D205" s="410"/>
      <c r="E205" s="410"/>
      <c r="F205" s="410"/>
      <c r="G205" s="410"/>
      <c r="H205" s="410"/>
      <c r="I205" s="410"/>
      <c r="J205" s="410"/>
      <c r="K205" s="410"/>
      <c r="L205" s="410"/>
      <c r="M205" s="410"/>
      <c r="N205" s="410"/>
      <c r="O205" s="410"/>
      <c r="P205" s="410"/>
      <c r="Q205" s="410"/>
      <c r="R205" s="410"/>
      <c r="S205" s="410"/>
      <c r="T205" s="410"/>
      <c r="U205" s="410"/>
      <c r="V205" s="410"/>
      <c r="W205" s="410"/>
      <c r="X205" s="410"/>
      <c r="Y205" s="410"/>
      <c r="Z205" s="410"/>
      <c r="AA205" s="410"/>
      <c r="AB205" s="410"/>
      <c r="AC205" s="410"/>
      <c r="AD205" s="410"/>
      <c r="AE205" s="410"/>
      <c r="AF205" s="410"/>
      <c r="AG205" s="410"/>
      <c r="AH205" s="410"/>
    </row>
    <row r="206" spans="1:34">
      <c r="A206" s="410"/>
      <c r="B206" s="410"/>
      <c r="C206" s="410"/>
      <c r="D206" s="410"/>
      <c r="E206" s="410"/>
      <c r="F206" s="410"/>
      <c r="G206" s="410"/>
      <c r="H206" s="410"/>
      <c r="I206" s="410"/>
      <c r="J206" s="410"/>
      <c r="K206" s="410"/>
      <c r="L206" s="410"/>
      <c r="M206" s="410"/>
      <c r="N206" s="410"/>
      <c r="O206" s="410"/>
      <c r="P206" s="410"/>
      <c r="Q206" s="410"/>
      <c r="R206" s="410"/>
      <c r="S206" s="410"/>
      <c r="T206" s="410"/>
      <c r="U206" s="410"/>
      <c r="V206" s="410"/>
      <c r="W206" s="410"/>
      <c r="X206" s="410"/>
      <c r="Y206" s="410"/>
      <c r="Z206" s="410"/>
      <c r="AA206" s="410"/>
      <c r="AB206" s="410"/>
      <c r="AC206" s="410"/>
      <c r="AD206" s="410"/>
      <c r="AE206" s="410"/>
      <c r="AF206" s="410"/>
      <c r="AG206" s="410"/>
      <c r="AH206" s="410"/>
    </row>
    <row r="207" spans="1:34">
      <c r="A207" s="410"/>
      <c r="B207" s="410"/>
      <c r="C207" s="410"/>
      <c r="D207" s="410"/>
      <c r="E207" s="410"/>
      <c r="F207" s="410"/>
      <c r="G207" s="410"/>
      <c r="H207" s="410"/>
      <c r="I207" s="410"/>
      <c r="J207" s="410"/>
      <c r="K207" s="410"/>
      <c r="L207" s="410"/>
      <c r="M207" s="410"/>
      <c r="N207" s="410"/>
      <c r="O207" s="410"/>
      <c r="P207" s="410"/>
      <c r="Q207" s="410"/>
      <c r="R207" s="410"/>
      <c r="S207" s="410"/>
      <c r="T207" s="410"/>
      <c r="U207" s="410"/>
      <c r="V207" s="410"/>
      <c r="W207" s="410"/>
      <c r="X207" s="410"/>
      <c r="Y207" s="410"/>
      <c r="Z207" s="410"/>
      <c r="AA207" s="410"/>
      <c r="AB207" s="410"/>
      <c r="AC207" s="410"/>
      <c r="AD207" s="410"/>
      <c r="AE207" s="410"/>
      <c r="AF207" s="410"/>
      <c r="AG207" s="410"/>
      <c r="AH207" s="410"/>
    </row>
    <row r="208" spans="1:34">
      <c r="A208" s="410"/>
      <c r="B208" s="410"/>
      <c r="C208" s="410"/>
      <c r="D208" s="410"/>
      <c r="E208" s="410"/>
      <c r="F208" s="410"/>
      <c r="G208" s="410"/>
      <c r="H208" s="410"/>
      <c r="I208" s="410"/>
      <c r="J208" s="410"/>
      <c r="K208" s="410"/>
      <c r="L208" s="410"/>
      <c r="M208" s="410"/>
      <c r="N208" s="410"/>
      <c r="O208" s="410"/>
      <c r="P208" s="410"/>
      <c r="Q208" s="410"/>
      <c r="R208" s="410"/>
      <c r="S208" s="410"/>
      <c r="T208" s="410"/>
      <c r="U208" s="410"/>
      <c r="V208" s="410"/>
      <c r="W208" s="410"/>
      <c r="X208" s="410"/>
      <c r="Y208" s="410"/>
      <c r="Z208" s="410"/>
      <c r="AA208" s="410"/>
      <c r="AB208" s="410"/>
      <c r="AC208" s="410"/>
      <c r="AD208" s="410"/>
      <c r="AE208" s="410"/>
      <c r="AF208" s="410"/>
      <c r="AG208" s="410"/>
      <c r="AH208" s="410"/>
    </row>
    <row r="209" spans="1:34">
      <c r="A209" s="410"/>
      <c r="B209" s="410"/>
      <c r="C209" s="410"/>
      <c r="D209" s="410"/>
      <c r="E209" s="410"/>
      <c r="F209" s="410"/>
      <c r="G209" s="410"/>
      <c r="H209" s="410"/>
      <c r="I209" s="410"/>
      <c r="J209" s="410"/>
      <c r="K209" s="410"/>
      <c r="L209" s="410"/>
      <c r="M209" s="410"/>
      <c r="N209" s="410"/>
      <c r="O209" s="410"/>
      <c r="P209" s="410"/>
      <c r="Q209" s="410"/>
      <c r="R209" s="410"/>
      <c r="S209" s="410"/>
      <c r="T209" s="410"/>
      <c r="U209" s="410"/>
      <c r="V209" s="410"/>
      <c r="W209" s="410"/>
      <c r="X209" s="410"/>
      <c r="Y209" s="410"/>
      <c r="Z209" s="410"/>
      <c r="AA209" s="410"/>
      <c r="AB209" s="410"/>
      <c r="AC209" s="410"/>
      <c r="AD209" s="410"/>
      <c r="AE209" s="410"/>
      <c r="AF209" s="410"/>
      <c r="AG209" s="410"/>
      <c r="AH209" s="410"/>
    </row>
    <row r="210" spans="1:34">
      <c r="A210" s="410"/>
      <c r="B210" s="410"/>
      <c r="C210" s="410"/>
      <c r="D210" s="410"/>
      <c r="E210" s="410"/>
      <c r="F210" s="410"/>
      <c r="G210" s="410"/>
      <c r="H210" s="410"/>
      <c r="I210" s="410"/>
      <c r="J210" s="410"/>
      <c r="K210" s="410"/>
      <c r="L210" s="410"/>
      <c r="M210" s="410"/>
      <c r="N210" s="410"/>
      <c r="O210" s="410"/>
      <c r="P210" s="410"/>
      <c r="Q210" s="410"/>
      <c r="R210" s="410"/>
      <c r="S210" s="410"/>
      <c r="T210" s="410"/>
      <c r="U210" s="410"/>
      <c r="V210" s="410"/>
      <c r="W210" s="410"/>
      <c r="X210" s="410"/>
      <c r="Y210" s="410"/>
      <c r="Z210" s="410"/>
      <c r="AA210" s="410"/>
      <c r="AB210" s="410"/>
      <c r="AC210" s="410"/>
      <c r="AD210" s="410"/>
      <c r="AE210" s="410"/>
      <c r="AF210" s="410"/>
      <c r="AG210" s="410"/>
      <c r="AH210" s="410"/>
    </row>
    <row r="211" spans="1:34">
      <c r="A211" s="410"/>
      <c r="B211" s="410"/>
      <c r="C211" s="410"/>
      <c r="D211" s="410"/>
      <c r="E211" s="410"/>
      <c r="F211" s="410"/>
      <c r="G211" s="410"/>
      <c r="H211" s="410"/>
      <c r="I211" s="410"/>
      <c r="J211" s="410"/>
      <c r="K211" s="410"/>
      <c r="L211" s="410"/>
      <c r="M211" s="410"/>
      <c r="N211" s="410"/>
      <c r="O211" s="410"/>
      <c r="P211" s="410"/>
      <c r="Q211" s="410"/>
      <c r="R211" s="410"/>
      <c r="S211" s="410"/>
      <c r="T211" s="410"/>
      <c r="U211" s="410"/>
      <c r="V211" s="410"/>
      <c r="W211" s="410"/>
      <c r="X211" s="410"/>
      <c r="Y211" s="410"/>
      <c r="Z211" s="410"/>
      <c r="AA211" s="410"/>
      <c r="AB211" s="410"/>
      <c r="AC211" s="410"/>
      <c r="AD211" s="410"/>
      <c r="AE211" s="410"/>
      <c r="AF211" s="410"/>
      <c r="AG211" s="410"/>
      <c r="AH211" s="410"/>
    </row>
    <row r="212" spans="1:34">
      <c r="A212" s="410"/>
      <c r="B212" s="410"/>
      <c r="C212" s="410"/>
      <c r="D212" s="410"/>
      <c r="E212" s="410"/>
      <c r="F212" s="410"/>
      <c r="G212" s="410"/>
      <c r="H212" s="410"/>
      <c r="I212" s="410"/>
      <c r="J212" s="410"/>
      <c r="K212" s="410"/>
      <c r="L212" s="410"/>
      <c r="M212" s="410"/>
      <c r="N212" s="410"/>
      <c r="O212" s="410"/>
      <c r="P212" s="410"/>
      <c r="Q212" s="410"/>
      <c r="R212" s="410"/>
      <c r="S212" s="410"/>
      <c r="T212" s="410"/>
      <c r="U212" s="410"/>
      <c r="V212" s="410"/>
      <c r="W212" s="410"/>
      <c r="X212" s="410"/>
      <c r="Y212" s="410"/>
      <c r="Z212" s="410"/>
      <c r="AA212" s="410"/>
      <c r="AB212" s="410"/>
      <c r="AC212" s="410"/>
      <c r="AD212" s="410"/>
      <c r="AE212" s="410"/>
      <c r="AF212" s="410"/>
      <c r="AG212" s="410"/>
      <c r="AH212" s="410"/>
    </row>
    <row r="213" spans="1:34">
      <c r="A213" s="410"/>
      <c r="B213" s="410"/>
      <c r="C213" s="410"/>
      <c r="D213" s="410"/>
      <c r="E213" s="410"/>
      <c r="F213" s="410"/>
      <c r="G213" s="410"/>
      <c r="H213" s="410"/>
      <c r="I213" s="410"/>
      <c r="J213" s="410"/>
      <c r="K213" s="410"/>
      <c r="L213" s="410"/>
      <c r="M213" s="410"/>
      <c r="N213" s="410"/>
      <c r="O213" s="410"/>
      <c r="P213" s="410"/>
      <c r="Q213" s="410"/>
      <c r="R213" s="410"/>
      <c r="S213" s="410"/>
      <c r="T213" s="410"/>
      <c r="U213" s="410"/>
      <c r="V213" s="410"/>
      <c r="W213" s="410"/>
      <c r="X213" s="410"/>
      <c r="Y213" s="410"/>
      <c r="Z213" s="410"/>
      <c r="AA213" s="410"/>
      <c r="AB213" s="410"/>
      <c r="AC213" s="410"/>
      <c r="AD213" s="410"/>
      <c r="AE213" s="410"/>
      <c r="AF213" s="410"/>
      <c r="AG213" s="410"/>
      <c r="AH213" s="410"/>
    </row>
    <row r="214" spans="1:34">
      <c r="A214" s="410"/>
      <c r="B214" s="410"/>
      <c r="C214" s="410"/>
      <c r="D214" s="410"/>
      <c r="E214" s="410"/>
      <c r="F214" s="410"/>
      <c r="G214" s="410"/>
      <c r="H214" s="410"/>
      <c r="I214" s="410"/>
      <c r="J214" s="410"/>
      <c r="K214" s="410"/>
      <c r="L214" s="410"/>
      <c r="M214" s="410"/>
      <c r="N214" s="410"/>
      <c r="O214" s="410"/>
      <c r="P214" s="410"/>
      <c r="Q214" s="410"/>
      <c r="R214" s="410"/>
      <c r="S214" s="410"/>
      <c r="T214" s="410"/>
      <c r="U214" s="410"/>
      <c r="V214" s="410"/>
      <c r="W214" s="410"/>
      <c r="X214" s="410"/>
      <c r="Y214" s="410"/>
      <c r="Z214" s="410"/>
      <c r="AA214" s="410"/>
      <c r="AB214" s="410"/>
      <c r="AC214" s="410"/>
      <c r="AD214" s="410"/>
      <c r="AE214" s="410"/>
      <c r="AF214" s="410"/>
      <c r="AG214" s="410"/>
      <c r="AH214" s="410"/>
    </row>
    <row r="215" spans="1:34">
      <c r="A215" s="410"/>
      <c r="B215" s="410"/>
      <c r="C215" s="410"/>
      <c r="D215" s="410"/>
      <c r="E215" s="410"/>
      <c r="F215" s="410"/>
      <c r="G215" s="410"/>
      <c r="H215" s="410"/>
      <c r="I215" s="410"/>
      <c r="J215" s="410"/>
      <c r="K215" s="410"/>
      <c r="L215" s="410"/>
      <c r="M215" s="410"/>
      <c r="N215" s="410"/>
      <c r="O215" s="410"/>
      <c r="P215" s="410"/>
      <c r="Q215" s="410"/>
      <c r="R215" s="410"/>
      <c r="S215" s="410"/>
      <c r="T215" s="410"/>
      <c r="U215" s="410"/>
      <c r="V215" s="410"/>
      <c r="W215" s="410"/>
      <c r="X215" s="410"/>
      <c r="Y215" s="410"/>
      <c r="Z215" s="410"/>
      <c r="AA215" s="410"/>
      <c r="AB215" s="410"/>
      <c r="AC215" s="410"/>
      <c r="AD215" s="410"/>
      <c r="AE215" s="410"/>
      <c r="AF215" s="410"/>
      <c r="AG215" s="410"/>
      <c r="AH215" s="410"/>
    </row>
    <row r="216" spans="1:34">
      <c r="A216" s="410"/>
      <c r="B216" s="410"/>
      <c r="C216" s="410"/>
      <c r="D216" s="410"/>
      <c r="E216" s="410"/>
      <c r="F216" s="410"/>
      <c r="G216" s="410"/>
      <c r="H216" s="410"/>
      <c r="I216" s="410"/>
      <c r="J216" s="410"/>
      <c r="K216" s="410"/>
      <c r="L216" s="410"/>
      <c r="M216" s="410"/>
      <c r="N216" s="410"/>
      <c r="O216" s="410"/>
      <c r="P216" s="410"/>
      <c r="Q216" s="410"/>
      <c r="R216" s="410"/>
      <c r="S216" s="410"/>
      <c r="T216" s="410"/>
      <c r="U216" s="410"/>
      <c r="V216" s="410"/>
      <c r="W216" s="410"/>
      <c r="X216" s="410"/>
      <c r="Y216" s="410"/>
      <c r="Z216" s="410"/>
      <c r="AA216" s="410"/>
      <c r="AB216" s="410"/>
      <c r="AC216" s="410"/>
      <c r="AD216" s="410"/>
      <c r="AE216" s="410"/>
      <c r="AF216" s="410"/>
      <c r="AG216" s="410"/>
      <c r="AH216" s="410"/>
    </row>
    <row r="217" spans="1:34">
      <c r="A217" s="410"/>
      <c r="B217" s="410"/>
      <c r="C217" s="410"/>
      <c r="D217" s="410"/>
      <c r="E217" s="410"/>
      <c r="F217" s="410"/>
      <c r="G217" s="410"/>
      <c r="H217" s="410"/>
      <c r="I217" s="410"/>
      <c r="J217" s="410"/>
      <c r="K217" s="410"/>
      <c r="L217" s="410"/>
      <c r="M217" s="410"/>
      <c r="N217" s="410"/>
      <c r="O217" s="410"/>
      <c r="P217" s="410"/>
      <c r="Q217" s="410"/>
      <c r="R217" s="410"/>
      <c r="S217" s="410"/>
      <c r="T217" s="410"/>
      <c r="U217" s="410"/>
      <c r="V217" s="410"/>
      <c r="W217" s="410"/>
      <c r="X217" s="410"/>
      <c r="Y217" s="410"/>
      <c r="Z217" s="410"/>
      <c r="AA217" s="410"/>
      <c r="AB217" s="410"/>
      <c r="AC217" s="410"/>
      <c r="AD217" s="410"/>
      <c r="AE217" s="410"/>
      <c r="AF217" s="410"/>
      <c r="AG217" s="410"/>
      <c r="AH217" s="410"/>
    </row>
    <row r="218" spans="1:34">
      <c r="A218" s="410"/>
      <c r="B218" s="410"/>
      <c r="C218" s="410"/>
      <c r="D218" s="410"/>
      <c r="E218" s="410"/>
      <c r="F218" s="410"/>
      <c r="G218" s="410"/>
      <c r="H218" s="410"/>
      <c r="I218" s="410"/>
      <c r="J218" s="410"/>
      <c r="K218" s="410"/>
      <c r="L218" s="410"/>
      <c r="M218" s="410"/>
      <c r="N218" s="410"/>
      <c r="O218" s="410"/>
      <c r="P218" s="410"/>
      <c r="Q218" s="410"/>
      <c r="R218" s="410"/>
      <c r="S218" s="410"/>
      <c r="T218" s="410"/>
      <c r="U218" s="410"/>
      <c r="V218" s="410"/>
      <c r="W218" s="410"/>
      <c r="X218" s="410"/>
      <c r="Y218" s="410"/>
      <c r="Z218" s="410"/>
      <c r="AA218" s="410"/>
      <c r="AB218" s="410"/>
      <c r="AC218" s="410"/>
      <c r="AD218" s="410"/>
      <c r="AE218" s="410"/>
      <c r="AF218" s="410"/>
      <c r="AG218" s="410"/>
      <c r="AH218" s="410"/>
    </row>
    <row r="219" spans="1:34">
      <c r="A219" s="410"/>
      <c r="B219" s="410"/>
      <c r="C219" s="410"/>
      <c r="D219" s="410"/>
      <c r="E219" s="410"/>
      <c r="F219" s="410"/>
      <c r="G219" s="410"/>
      <c r="H219" s="410"/>
      <c r="I219" s="410"/>
      <c r="J219" s="410"/>
      <c r="K219" s="410"/>
      <c r="L219" s="410"/>
      <c r="M219" s="410"/>
      <c r="N219" s="410"/>
      <c r="O219" s="410"/>
      <c r="P219" s="410"/>
      <c r="Q219" s="410"/>
      <c r="R219" s="410"/>
      <c r="S219" s="410"/>
      <c r="T219" s="410"/>
      <c r="U219" s="410"/>
      <c r="V219" s="410"/>
      <c r="W219" s="410"/>
      <c r="X219" s="410"/>
      <c r="Y219" s="410"/>
      <c r="Z219" s="410"/>
      <c r="AA219" s="410"/>
      <c r="AB219" s="410"/>
      <c r="AC219" s="410"/>
      <c r="AD219" s="410"/>
      <c r="AE219" s="410"/>
      <c r="AF219" s="410"/>
      <c r="AG219" s="410"/>
      <c r="AH219" s="410"/>
    </row>
    <row r="220" spans="1:34">
      <c r="A220" s="410"/>
      <c r="B220" s="410"/>
      <c r="C220" s="410"/>
      <c r="D220" s="410"/>
      <c r="E220" s="410"/>
      <c r="F220" s="410"/>
      <c r="G220" s="410"/>
      <c r="H220" s="410"/>
      <c r="I220" s="410"/>
      <c r="J220" s="410"/>
      <c r="K220" s="410"/>
      <c r="L220" s="410"/>
      <c r="M220" s="410"/>
      <c r="N220" s="410"/>
      <c r="O220" s="410"/>
      <c r="P220" s="410"/>
      <c r="Q220" s="410"/>
      <c r="R220" s="410"/>
      <c r="S220" s="410"/>
      <c r="T220" s="410"/>
      <c r="U220" s="410"/>
      <c r="V220" s="410"/>
      <c r="W220" s="410"/>
      <c r="X220" s="410"/>
      <c r="Y220" s="410"/>
      <c r="Z220" s="410"/>
      <c r="AA220" s="410"/>
      <c r="AB220" s="410"/>
      <c r="AC220" s="410"/>
      <c r="AD220" s="410"/>
      <c r="AE220" s="410"/>
      <c r="AF220" s="410"/>
      <c r="AG220" s="410"/>
      <c r="AH220" s="410"/>
    </row>
    <row r="221" spans="1:34">
      <c r="A221" s="410"/>
      <c r="B221" s="410"/>
      <c r="C221" s="410"/>
      <c r="D221" s="410"/>
      <c r="E221" s="410"/>
      <c r="F221" s="410"/>
      <c r="G221" s="410"/>
      <c r="H221" s="410"/>
      <c r="I221" s="410"/>
      <c r="J221" s="410"/>
      <c r="K221" s="410"/>
      <c r="L221" s="410"/>
      <c r="M221" s="410"/>
      <c r="N221" s="410"/>
      <c r="O221" s="410"/>
      <c r="P221" s="410"/>
      <c r="Q221" s="410"/>
      <c r="R221" s="410"/>
      <c r="S221" s="410"/>
      <c r="T221" s="410"/>
      <c r="U221" s="410"/>
      <c r="V221" s="410"/>
      <c r="W221" s="410"/>
      <c r="X221" s="410"/>
      <c r="Y221" s="410"/>
      <c r="Z221" s="410"/>
      <c r="AA221" s="410"/>
      <c r="AB221" s="410"/>
      <c r="AC221" s="410"/>
      <c r="AD221" s="410"/>
      <c r="AE221" s="410"/>
      <c r="AF221" s="410"/>
      <c r="AG221" s="410"/>
      <c r="AH221" s="410"/>
    </row>
    <row r="222" spans="1:34">
      <c r="A222" s="410"/>
      <c r="B222" s="410"/>
      <c r="C222" s="410"/>
      <c r="D222" s="410"/>
      <c r="E222" s="410"/>
      <c r="F222" s="410"/>
      <c r="G222" s="410"/>
      <c r="H222" s="410"/>
      <c r="I222" s="410"/>
      <c r="J222" s="410"/>
      <c r="K222" s="410"/>
      <c r="L222" s="410"/>
      <c r="M222" s="410"/>
      <c r="N222" s="410"/>
      <c r="O222" s="410"/>
      <c r="P222" s="410"/>
      <c r="Q222" s="410"/>
      <c r="R222" s="410"/>
      <c r="S222" s="410"/>
      <c r="T222" s="410"/>
      <c r="U222" s="410"/>
      <c r="V222" s="410"/>
      <c r="W222" s="410"/>
      <c r="X222" s="410"/>
      <c r="Y222" s="410"/>
      <c r="Z222" s="410"/>
      <c r="AA222" s="410"/>
      <c r="AB222" s="410"/>
      <c r="AC222" s="410"/>
      <c r="AD222" s="410"/>
      <c r="AE222" s="410"/>
      <c r="AF222" s="410"/>
      <c r="AG222" s="410"/>
      <c r="AH222" s="410"/>
    </row>
    <row r="223" spans="1:34">
      <c r="A223" s="410"/>
      <c r="B223" s="410"/>
      <c r="C223" s="410"/>
      <c r="D223" s="410"/>
      <c r="E223" s="410"/>
      <c r="F223" s="410"/>
      <c r="G223" s="410"/>
      <c r="H223" s="410"/>
      <c r="I223" s="410"/>
      <c r="J223" s="410"/>
      <c r="K223" s="410"/>
      <c r="L223" s="410"/>
      <c r="M223" s="410"/>
      <c r="N223" s="410"/>
      <c r="O223" s="410"/>
      <c r="P223" s="410"/>
      <c r="Q223" s="410"/>
      <c r="R223" s="410"/>
      <c r="S223" s="410"/>
      <c r="T223" s="410"/>
      <c r="U223" s="410"/>
      <c r="V223" s="410"/>
      <c r="W223" s="410"/>
      <c r="X223" s="410"/>
      <c r="Y223" s="410"/>
      <c r="Z223" s="410"/>
      <c r="AA223" s="410"/>
      <c r="AB223" s="410"/>
      <c r="AC223" s="410"/>
      <c r="AD223" s="410"/>
      <c r="AE223" s="410"/>
      <c r="AF223" s="410"/>
      <c r="AG223" s="410"/>
      <c r="AH223" s="410"/>
    </row>
    <row r="224" spans="1:34">
      <c r="A224" s="410"/>
      <c r="B224" s="410"/>
      <c r="C224" s="410"/>
      <c r="D224" s="410"/>
      <c r="E224" s="410"/>
      <c r="F224" s="410"/>
      <c r="G224" s="410"/>
      <c r="H224" s="410"/>
      <c r="I224" s="410"/>
      <c r="J224" s="410"/>
      <c r="K224" s="410"/>
      <c r="L224" s="410"/>
      <c r="M224" s="410"/>
      <c r="N224" s="410"/>
      <c r="O224" s="410"/>
      <c r="P224" s="410"/>
      <c r="Q224" s="410"/>
      <c r="R224" s="410"/>
      <c r="S224" s="410"/>
      <c r="T224" s="410"/>
      <c r="U224" s="410"/>
      <c r="V224" s="410"/>
      <c r="W224" s="410"/>
      <c r="X224" s="410"/>
      <c r="Y224" s="410"/>
      <c r="Z224" s="410"/>
      <c r="AA224" s="410"/>
      <c r="AB224" s="410"/>
      <c r="AC224" s="410"/>
      <c r="AD224" s="410"/>
      <c r="AE224" s="410"/>
      <c r="AF224" s="410"/>
      <c r="AG224" s="410"/>
      <c r="AH224" s="410"/>
    </row>
    <row r="225" spans="1:34">
      <c r="A225" s="410"/>
      <c r="B225" s="410"/>
      <c r="C225" s="410"/>
      <c r="D225" s="410"/>
      <c r="E225" s="410"/>
      <c r="F225" s="410"/>
      <c r="G225" s="410"/>
      <c r="H225" s="410"/>
      <c r="I225" s="410"/>
      <c r="J225" s="410"/>
      <c r="K225" s="410"/>
      <c r="L225" s="410"/>
      <c r="M225" s="410"/>
      <c r="N225" s="410"/>
      <c r="O225" s="410"/>
      <c r="P225" s="410"/>
      <c r="Q225" s="410"/>
      <c r="R225" s="410"/>
      <c r="S225" s="410"/>
      <c r="T225" s="410"/>
      <c r="U225" s="410"/>
      <c r="V225" s="410"/>
      <c r="W225" s="410"/>
      <c r="X225" s="410"/>
      <c r="Y225" s="410"/>
      <c r="Z225" s="410"/>
      <c r="AA225" s="410"/>
      <c r="AB225" s="410"/>
      <c r="AC225" s="410"/>
      <c r="AD225" s="410"/>
      <c r="AE225" s="410"/>
      <c r="AF225" s="410"/>
      <c r="AG225" s="410"/>
      <c r="AH225" s="410"/>
    </row>
    <row r="226" spans="1:34">
      <c r="A226" s="410"/>
      <c r="B226" s="410"/>
      <c r="C226" s="410"/>
      <c r="D226" s="410"/>
      <c r="E226" s="410"/>
      <c r="F226" s="410"/>
      <c r="G226" s="410"/>
      <c r="H226" s="410"/>
      <c r="I226" s="410"/>
      <c r="J226" s="410"/>
      <c r="K226" s="410"/>
      <c r="L226" s="410"/>
      <c r="M226" s="410"/>
      <c r="N226" s="410"/>
      <c r="O226" s="410"/>
      <c r="P226" s="410"/>
      <c r="Q226" s="410"/>
      <c r="R226" s="410"/>
      <c r="S226" s="410"/>
      <c r="T226" s="410"/>
      <c r="U226" s="410"/>
      <c r="V226" s="410"/>
      <c r="W226" s="410"/>
      <c r="X226" s="410"/>
      <c r="Y226" s="410"/>
      <c r="Z226" s="410"/>
      <c r="AA226" s="410"/>
      <c r="AB226" s="410"/>
      <c r="AC226" s="410"/>
      <c r="AD226" s="410"/>
      <c r="AE226" s="410"/>
      <c r="AF226" s="410"/>
      <c r="AG226" s="410"/>
      <c r="AH226" s="410"/>
    </row>
    <row r="227" spans="1:34">
      <c r="A227" s="410"/>
      <c r="B227" s="410"/>
      <c r="C227" s="410"/>
      <c r="D227" s="410"/>
      <c r="E227" s="410"/>
      <c r="F227" s="410"/>
      <c r="G227" s="410"/>
      <c r="H227" s="410"/>
      <c r="I227" s="410"/>
      <c r="J227" s="410"/>
      <c r="K227" s="410"/>
      <c r="L227" s="410"/>
      <c r="M227" s="410"/>
      <c r="N227" s="410"/>
      <c r="O227" s="410"/>
      <c r="P227" s="410"/>
      <c r="Q227" s="410"/>
      <c r="R227" s="410"/>
      <c r="S227" s="410"/>
      <c r="T227" s="410"/>
      <c r="U227" s="410"/>
      <c r="V227" s="410"/>
      <c r="W227" s="410"/>
      <c r="X227" s="410"/>
      <c r="Y227" s="410"/>
      <c r="Z227" s="410"/>
      <c r="AA227" s="410"/>
      <c r="AB227" s="410"/>
      <c r="AC227" s="410"/>
      <c r="AD227" s="410"/>
      <c r="AE227" s="410"/>
      <c r="AF227" s="410"/>
      <c r="AG227" s="410"/>
      <c r="AH227" s="410"/>
    </row>
    <row r="228" spans="1:34">
      <c r="A228" s="410"/>
      <c r="B228" s="410"/>
      <c r="C228" s="410"/>
      <c r="D228" s="410"/>
      <c r="E228" s="410"/>
      <c r="F228" s="410"/>
      <c r="G228" s="410"/>
      <c r="H228" s="410"/>
      <c r="I228" s="410"/>
      <c r="J228" s="410"/>
      <c r="K228" s="410"/>
      <c r="L228" s="410"/>
      <c r="M228" s="410"/>
      <c r="N228" s="410"/>
      <c r="O228" s="410"/>
      <c r="P228" s="410"/>
      <c r="Q228" s="410"/>
      <c r="R228" s="410"/>
      <c r="S228" s="410"/>
      <c r="T228" s="410"/>
      <c r="U228" s="410"/>
      <c r="V228" s="410"/>
      <c r="W228" s="410"/>
      <c r="X228" s="410"/>
      <c r="Y228" s="410"/>
      <c r="Z228" s="410"/>
      <c r="AA228" s="410"/>
      <c r="AB228" s="410"/>
      <c r="AC228" s="410"/>
      <c r="AD228" s="410"/>
      <c r="AE228" s="410"/>
      <c r="AF228" s="410"/>
      <c r="AG228" s="410"/>
      <c r="AH228" s="410"/>
    </row>
    <row r="229" spans="1:34">
      <c r="A229" s="410"/>
      <c r="B229" s="410"/>
      <c r="C229" s="410"/>
      <c r="D229" s="410"/>
      <c r="E229" s="410"/>
      <c r="F229" s="410"/>
      <c r="G229" s="410"/>
      <c r="H229" s="410"/>
      <c r="I229" s="410"/>
      <c r="J229" s="410"/>
      <c r="K229" s="410"/>
      <c r="L229" s="410"/>
      <c r="M229" s="410"/>
      <c r="N229" s="410"/>
      <c r="O229" s="410"/>
      <c r="P229" s="410"/>
      <c r="Q229" s="410"/>
      <c r="R229" s="410"/>
      <c r="S229" s="410"/>
      <c r="T229" s="410"/>
      <c r="U229" s="410"/>
      <c r="V229" s="410"/>
      <c r="W229" s="410"/>
      <c r="X229" s="410"/>
      <c r="Y229" s="410"/>
      <c r="Z229" s="410"/>
      <c r="AA229" s="410"/>
      <c r="AB229" s="410"/>
      <c r="AC229" s="410"/>
      <c r="AD229" s="410"/>
      <c r="AE229" s="410"/>
      <c r="AF229" s="410"/>
      <c r="AG229" s="410"/>
      <c r="AH229" s="410"/>
    </row>
    <row r="230" spans="1:34">
      <c r="A230" s="410"/>
      <c r="B230" s="410"/>
      <c r="C230" s="410"/>
      <c r="D230" s="410"/>
      <c r="E230" s="410"/>
      <c r="F230" s="410"/>
      <c r="G230" s="410"/>
      <c r="H230" s="410"/>
      <c r="I230" s="410"/>
      <c r="J230" s="410"/>
      <c r="K230" s="410"/>
      <c r="L230" s="410"/>
      <c r="M230" s="410"/>
      <c r="N230" s="410"/>
      <c r="O230" s="410"/>
      <c r="P230" s="410"/>
      <c r="Q230" s="410"/>
      <c r="R230" s="410"/>
      <c r="S230" s="410"/>
      <c r="T230" s="410"/>
      <c r="U230" s="410"/>
      <c r="V230" s="410"/>
      <c r="W230" s="410"/>
      <c r="X230" s="410"/>
      <c r="Y230" s="410"/>
      <c r="Z230" s="410"/>
      <c r="AA230" s="410"/>
      <c r="AB230" s="410"/>
      <c r="AC230" s="410"/>
      <c r="AD230" s="410"/>
      <c r="AE230" s="410"/>
      <c r="AF230" s="410"/>
      <c r="AG230" s="410"/>
      <c r="AH230" s="410"/>
    </row>
    <row r="231" spans="1:34">
      <c r="A231" s="410"/>
      <c r="B231" s="410"/>
      <c r="C231" s="410"/>
      <c r="D231" s="410"/>
      <c r="E231" s="410"/>
      <c r="F231" s="410"/>
      <c r="G231" s="410"/>
      <c r="H231" s="410"/>
      <c r="I231" s="410"/>
      <c r="J231" s="410"/>
      <c r="K231" s="410"/>
      <c r="L231" s="410"/>
      <c r="M231" s="410"/>
      <c r="N231" s="410"/>
      <c r="O231" s="410"/>
      <c r="P231" s="410"/>
      <c r="Q231" s="410"/>
      <c r="R231" s="410"/>
      <c r="S231" s="410"/>
      <c r="T231" s="410"/>
      <c r="U231" s="410"/>
      <c r="V231" s="410"/>
      <c r="W231" s="410"/>
      <c r="X231" s="410"/>
      <c r="Y231" s="410"/>
      <c r="Z231" s="410"/>
      <c r="AA231" s="410"/>
      <c r="AB231" s="410"/>
      <c r="AC231" s="410"/>
      <c r="AD231" s="410"/>
      <c r="AE231" s="410"/>
      <c r="AF231" s="410"/>
      <c r="AG231" s="410"/>
      <c r="AH231" s="410"/>
    </row>
    <row r="232" spans="1:34">
      <c r="A232" s="410"/>
      <c r="B232" s="410"/>
      <c r="C232" s="410"/>
      <c r="D232" s="410"/>
      <c r="E232" s="410"/>
      <c r="F232" s="410"/>
      <c r="G232" s="410"/>
      <c r="H232" s="410"/>
      <c r="I232" s="410"/>
      <c r="J232" s="410"/>
      <c r="K232" s="410"/>
      <c r="L232" s="410"/>
      <c r="M232" s="410"/>
      <c r="N232" s="410"/>
      <c r="O232" s="410"/>
      <c r="P232" s="410"/>
      <c r="Q232" s="410"/>
      <c r="R232" s="410"/>
      <c r="S232" s="410"/>
      <c r="T232" s="410"/>
      <c r="U232" s="410"/>
      <c r="V232" s="410"/>
      <c r="W232" s="410"/>
      <c r="X232" s="410"/>
      <c r="Y232" s="410"/>
      <c r="Z232" s="410"/>
      <c r="AA232" s="410"/>
      <c r="AB232" s="410"/>
      <c r="AC232" s="410"/>
      <c r="AD232" s="410"/>
      <c r="AE232" s="410"/>
      <c r="AF232" s="410"/>
      <c r="AG232" s="410"/>
      <c r="AH232" s="410"/>
    </row>
    <row r="233" spans="1:34">
      <c r="A233" s="410"/>
      <c r="B233" s="410"/>
      <c r="C233" s="410"/>
      <c r="D233" s="410"/>
      <c r="E233" s="410"/>
      <c r="F233" s="410"/>
      <c r="G233" s="410"/>
      <c r="H233" s="410"/>
      <c r="I233" s="410"/>
      <c r="J233" s="410"/>
      <c r="K233" s="410"/>
      <c r="L233" s="410"/>
      <c r="M233" s="410"/>
      <c r="N233" s="410"/>
      <c r="O233" s="410"/>
      <c r="P233" s="410"/>
      <c r="Q233" s="410"/>
      <c r="R233" s="410"/>
      <c r="S233" s="410"/>
      <c r="T233" s="410"/>
      <c r="U233" s="410"/>
      <c r="V233" s="410"/>
      <c r="W233" s="410"/>
      <c r="X233" s="410"/>
      <c r="Y233" s="410"/>
      <c r="Z233" s="410"/>
      <c r="AA233" s="410"/>
      <c r="AB233" s="410"/>
      <c r="AC233" s="410"/>
      <c r="AD233" s="410"/>
      <c r="AE233" s="410"/>
      <c r="AF233" s="410"/>
      <c r="AG233" s="410"/>
      <c r="AH233" s="410"/>
    </row>
    <row r="234" spans="1:34">
      <c r="A234" s="410"/>
      <c r="B234" s="410"/>
      <c r="C234" s="410"/>
      <c r="D234" s="410"/>
      <c r="E234" s="410"/>
      <c r="F234" s="410"/>
      <c r="G234" s="410"/>
      <c r="H234" s="410"/>
      <c r="I234" s="410"/>
      <c r="J234" s="410"/>
      <c r="K234" s="410"/>
      <c r="L234" s="410"/>
      <c r="M234" s="410"/>
      <c r="N234" s="410"/>
      <c r="O234" s="410"/>
      <c r="P234" s="410"/>
      <c r="Q234" s="410"/>
      <c r="R234" s="410"/>
      <c r="S234" s="410"/>
      <c r="T234" s="410"/>
      <c r="U234" s="410"/>
      <c r="V234" s="410"/>
      <c r="W234" s="410"/>
      <c r="X234" s="410"/>
      <c r="Y234" s="410"/>
      <c r="Z234" s="410"/>
      <c r="AA234" s="410"/>
      <c r="AB234" s="410"/>
      <c r="AC234" s="410"/>
      <c r="AD234" s="410"/>
      <c r="AE234" s="410"/>
      <c r="AF234" s="410"/>
      <c r="AG234" s="410"/>
      <c r="AH234" s="410"/>
    </row>
    <row r="235" spans="1:34">
      <c r="A235" s="410"/>
      <c r="B235" s="410"/>
      <c r="C235" s="410"/>
      <c r="D235" s="410"/>
      <c r="E235" s="410"/>
      <c r="F235" s="410"/>
      <c r="G235" s="410"/>
      <c r="H235" s="410"/>
      <c r="I235" s="410"/>
      <c r="J235" s="410"/>
      <c r="K235" s="410"/>
      <c r="L235" s="410"/>
      <c r="M235" s="410"/>
      <c r="N235" s="410"/>
      <c r="O235" s="410"/>
      <c r="P235" s="410"/>
      <c r="Q235" s="410"/>
      <c r="R235" s="410"/>
      <c r="S235" s="410"/>
      <c r="T235" s="410"/>
      <c r="U235" s="410"/>
      <c r="V235" s="410"/>
      <c r="W235" s="410"/>
      <c r="X235" s="410"/>
      <c r="Y235" s="410"/>
      <c r="Z235" s="410"/>
      <c r="AA235" s="410"/>
      <c r="AB235" s="410"/>
      <c r="AC235" s="410"/>
      <c r="AD235" s="410"/>
      <c r="AE235" s="410"/>
      <c r="AF235" s="410"/>
      <c r="AG235" s="410"/>
      <c r="AH235" s="410"/>
    </row>
    <row r="236" spans="1:34">
      <c r="A236" s="410"/>
      <c r="B236" s="410"/>
      <c r="C236" s="410"/>
      <c r="D236" s="410"/>
      <c r="E236" s="410"/>
      <c r="F236" s="410"/>
      <c r="G236" s="410"/>
      <c r="H236" s="410"/>
      <c r="I236" s="410"/>
      <c r="J236" s="410"/>
      <c r="K236" s="410"/>
      <c r="L236" s="410"/>
      <c r="M236" s="410"/>
      <c r="N236" s="410"/>
      <c r="O236" s="410"/>
      <c r="P236" s="410"/>
      <c r="Q236" s="410"/>
      <c r="R236" s="410"/>
      <c r="S236" s="410"/>
      <c r="T236" s="410"/>
      <c r="U236" s="410"/>
      <c r="V236" s="410"/>
      <c r="W236" s="410"/>
      <c r="X236" s="410"/>
      <c r="Y236" s="410"/>
      <c r="Z236" s="410"/>
      <c r="AA236" s="410"/>
      <c r="AB236" s="410"/>
      <c r="AC236" s="410"/>
      <c r="AD236" s="410"/>
      <c r="AE236" s="410"/>
      <c r="AF236" s="410"/>
      <c r="AG236" s="410"/>
      <c r="AH236" s="410"/>
    </row>
    <row r="237" spans="1:34">
      <c r="A237" s="410"/>
      <c r="B237" s="410"/>
      <c r="C237" s="410"/>
      <c r="D237" s="410"/>
      <c r="E237" s="410"/>
      <c r="F237" s="410"/>
      <c r="G237" s="410"/>
      <c r="H237" s="410"/>
      <c r="I237" s="410"/>
      <c r="J237" s="410"/>
      <c r="K237" s="410"/>
      <c r="L237" s="410"/>
      <c r="M237" s="410"/>
      <c r="N237" s="410"/>
      <c r="O237" s="410"/>
      <c r="P237" s="410"/>
      <c r="Q237" s="410"/>
      <c r="R237" s="410"/>
      <c r="S237" s="410"/>
      <c r="T237" s="410"/>
      <c r="U237" s="410"/>
      <c r="V237" s="410"/>
      <c r="W237" s="410"/>
      <c r="X237" s="410"/>
      <c r="Y237" s="410"/>
      <c r="Z237" s="410"/>
      <c r="AA237" s="410"/>
      <c r="AB237" s="410"/>
      <c r="AC237" s="410"/>
      <c r="AD237" s="410"/>
      <c r="AE237" s="410"/>
      <c r="AF237" s="410"/>
      <c r="AG237" s="410"/>
      <c r="AH237" s="410"/>
    </row>
    <row r="238" spans="1:34">
      <c r="A238" s="410"/>
      <c r="B238" s="410"/>
      <c r="C238" s="410"/>
      <c r="D238" s="410"/>
      <c r="E238" s="410"/>
      <c r="F238" s="410"/>
      <c r="G238" s="410"/>
      <c r="H238" s="410"/>
      <c r="I238" s="410"/>
      <c r="J238" s="410"/>
      <c r="K238" s="410"/>
      <c r="L238" s="410"/>
      <c r="M238" s="410"/>
      <c r="N238" s="410"/>
      <c r="O238" s="410"/>
      <c r="P238" s="410"/>
      <c r="Q238" s="410"/>
      <c r="R238" s="410"/>
      <c r="S238" s="410"/>
      <c r="T238" s="410"/>
      <c r="U238" s="410"/>
      <c r="V238" s="410"/>
      <c r="W238" s="410"/>
      <c r="X238" s="410"/>
      <c r="Y238" s="410"/>
      <c r="Z238" s="410"/>
      <c r="AA238" s="410"/>
      <c r="AB238" s="410"/>
      <c r="AC238" s="410"/>
      <c r="AD238" s="410"/>
      <c r="AE238" s="410"/>
      <c r="AF238" s="410"/>
      <c r="AG238" s="410"/>
      <c r="AH238" s="410"/>
    </row>
    <row r="239" spans="1:34">
      <c r="A239" s="410"/>
      <c r="B239" s="410"/>
      <c r="C239" s="410"/>
      <c r="D239" s="410"/>
      <c r="E239" s="410"/>
      <c r="F239" s="410"/>
      <c r="G239" s="410"/>
      <c r="H239" s="410"/>
      <c r="I239" s="410"/>
      <c r="J239" s="410"/>
      <c r="K239" s="410"/>
      <c r="L239" s="410"/>
      <c r="M239" s="410"/>
      <c r="N239" s="410"/>
      <c r="O239" s="410"/>
      <c r="P239" s="410"/>
      <c r="Q239" s="410"/>
      <c r="R239" s="410"/>
      <c r="S239" s="410"/>
      <c r="T239" s="410"/>
      <c r="U239" s="410"/>
      <c r="V239" s="410"/>
      <c r="W239" s="410"/>
      <c r="X239" s="410"/>
      <c r="Y239" s="410"/>
      <c r="Z239" s="410"/>
      <c r="AA239" s="410"/>
      <c r="AB239" s="410"/>
      <c r="AC239" s="410"/>
      <c r="AD239" s="410"/>
      <c r="AE239" s="410"/>
      <c r="AF239" s="410"/>
      <c r="AG239" s="410"/>
      <c r="AH239" s="410"/>
    </row>
    <row r="240" spans="1:34">
      <c r="A240" s="410"/>
      <c r="B240" s="410"/>
      <c r="C240" s="410"/>
      <c r="D240" s="410"/>
      <c r="E240" s="410"/>
      <c r="F240" s="410"/>
      <c r="G240" s="410"/>
      <c r="H240" s="410"/>
      <c r="I240" s="410"/>
      <c r="J240" s="410"/>
      <c r="K240" s="410"/>
      <c r="L240" s="410"/>
      <c r="M240" s="410"/>
      <c r="N240" s="410"/>
      <c r="O240" s="410"/>
      <c r="P240" s="410"/>
      <c r="Q240" s="410"/>
      <c r="R240" s="410"/>
      <c r="S240" s="410"/>
      <c r="T240" s="410"/>
      <c r="U240" s="410"/>
      <c r="V240" s="410"/>
      <c r="W240" s="410"/>
      <c r="X240" s="410"/>
      <c r="Y240" s="410"/>
      <c r="Z240" s="410"/>
      <c r="AA240" s="410"/>
      <c r="AB240" s="410"/>
      <c r="AC240" s="410"/>
      <c r="AD240" s="410"/>
      <c r="AE240" s="410"/>
      <c r="AF240" s="410"/>
      <c r="AG240" s="410"/>
      <c r="AH240" s="410"/>
    </row>
    <row r="241" spans="1:34">
      <c r="A241" s="410"/>
      <c r="B241" s="410"/>
      <c r="C241" s="410"/>
      <c r="D241" s="410"/>
      <c r="E241" s="410"/>
      <c r="F241" s="410"/>
      <c r="G241" s="410"/>
      <c r="H241" s="410"/>
      <c r="I241" s="410"/>
      <c r="J241" s="410"/>
      <c r="K241" s="410"/>
      <c r="L241" s="410"/>
      <c r="M241" s="410"/>
      <c r="N241" s="410"/>
      <c r="O241" s="410"/>
      <c r="P241" s="410"/>
      <c r="Q241" s="410"/>
      <c r="R241" s="410"/>
      <c r="S241" s="410"/>
      <c r="T241" s="410"/>
      <c r="U241" s="410"/>
      <c r="V241" s="410"/>
      <c r="W241" s="410"/>
      <c r="X241" s="410"/>
      <c r="Y241" s="410"/>
      <c r="Z241" s="410"/>
      <c r="AA241" s="410"/>
      <c r="AB241" s="410"/>
      <c r="AC241" s="410"/>
      <c r="AD241" s="410"/>
      <c r="AE241" s="410"/>
      <c r="AF241" s="410"/>
      <c r="AG241" s="410"/>
      <c r="AH241" s="410"/>
    </row>
    <row r="242" spans="1:34">
      <c r="A242" s="410"/>
      <c r="B242" s="410"/>
      <c r="C242" s="410"/>
      <c r="D242" s="410"/>
      <c r="E242" s="410"/>
      <c r="F242" s="410"/>
      <c r="G242" s="410"/>
      <c r="H242" s="410"/>
      <c r="I242" s="410"/>
      <c r="J242" s="410"/>
      <c r="K242" s="410"/>
      <c r="L242" s="410"/>
      <c r="M242" s="410"/>
      <c r="N242" s="410"/>
      <c r="O242" s="410"/>
      <c r="P242" s="410"/>
      <c r="Q242" s="410"/>
      <c r="R242" s="410"/>
      <c r="S242" s="410"/>
      <c r="T242" s="410"/>
      <c r="U242" s="410"/>
      <c r="V242" s="410"/>
      <c r="W242" s="410"/>
      <c r="X242" s="410"/>
      <c r="Y242" s="410"/>
      <c r="Z242" s="410"/>
      <c r="AA242" s="410"/>
      <c r="AB242" s="410"/>
      <c r="AC242" s="410"/>
      <c r="AD242" s="410"/>
      <c r="AE242" s="410"/>
      <c r="AF242" s="410"/>
      <c r="AG242" s="410"/>
      <c r="AH242" s="410"/>
    </row>
    <row r="243" spans="1:34">
      <c r="A243" s="410"/>
      <c r="B243" s="410"/>
      <c r="C243" s="410"/>
      <c r="D243" s="410"/>
      <c r="E243" s="410"/>
      <c r="F243" s="410"/>
      <c r="G243" s="410"/>
      <c r="H243" s="410"/>
      <c r="I243" s="410"/>
      <c r="J243" s="410"/>
      <c r="K243" s="410"/>
      <c r="L243" s="410"/>
      <c r="M243" s="410"/>
      <c r="N243" s="410"/>
      <c r="O243" s="410"/>
      <c r="P243" s="410"/>
      <c r="Q243" s="410"/>
      <c r="R243" s="410"/>
      <c r="S243" s="410"/>
      <c r="T243" s="410"/>
      <c r="U243" s="410"/>
      <c r="V243" s="410"/>
      <c r="W243" s="410"/>
      <c r="X243" s="410"/>
      <c r="Y243" s="410"/>
      <c r="Z243" s="410"/>
      <c r="AA243" s="410"/>
      <c r="AB243" s="410"/>
      <c r="AC243" s="410"/>
      <c r="AD243" s="410"/>
      <c r="AE243" s="410"/>
      <c r="AF243" s="410"/>
      <c r="AG243" s="410"/>
      <c r="AH243" s="410"/>
    </row>
    <row r="244" spans="1:34">
      <c r="A244" s="410"/>
      <c r="B244" s="410"/>
      <c r="C244" s="410"/>
      <c r="D244" s="410"/>
      <c r="E244" s="410"/>
      <c r="F244" s="410"/>
      <c r="G244" s="410"/>
      <c r="H244" s="410"/>
      <c r="I244" s="410"/>
      <c r="J244" s="410"/>
      <c r="K244" s="410"/>
      <c r="L244" s="410"/>
      <c r="M244" s="410"/>
      <c r="N244" s="410"/>
      <c r="O244" s="410"/>
      <c r="P244" s="410"/>
      <c r="Q244" s="410"/>
      <c r="R244" s="410"/>
      <c r="S244" s="410"/>
      <c r="T244" s="410"/>
      <c r="U244" s="410"/>
      <c r="V244" s="410"/>
      <c r="W244" s="410"/>
      <c r="X244" s="410"/>
      <c r="Y244" s="410"/>
      <c r="Z244" s="410"/>
      <c r="AA244" s="410"/>
      <c r="AB244" s="410"/>
      <c r="AC244" s="410"/>
      <c r="AD244" s="410"/>
      <c r="AE244" s="410"/>
      <c r="AF244" s="410"/>
      <c r="AG244" s="410"/>
      <c r="AH244" s="410"/>
    </row>
    <row r="245" spans="1:34">
      <c r="A245" s="410"/>
      <c r="B245" s="410"/>
      <c r="C245" s="410"/>
      <c r="D245" s="410"/>
      <c r="E245" s="410"/>
      <c r="F245" s="410"/>
      <c r="G245" s="410"/>
      <c r="H245" s="410"/>
      <c r="I245" s="410"/>
      <c r="J245" s="410"/>
      <c r="K245" s="410"/>
      <c r="L245" s="410"/>
      <c r="M245" s="410"/>
      <c r="N245" s="410"/>
      <c r="O245" s="410"/>
      <c r="P245" s="410"/>
      <c r="Q245" s="410"/>
      <c r="R245" s="410"/>
      <c r="S245" s="410"/>
      <c r="T245" s="410"/>
      <c r="U245" s="410"/>
      <c r="V245" s="410"/>
      <c r="W245" s="410"/>
      <c r="X245" s="410"/>
      <c r="Y245" s="410"/>
      <c r="Z245" s="410"/>
      <c r="AA245" s="410"/>
      <c r="AB245" s="410"/>
      <c r="AC245" s="410"/>
      <c r="AD245" s="410"/>
      <c r="AE245" s="410"/>
      <c r="AF245" s="410"/>
      <c r="AG245" s="410"/>
      <c r="AH245" s="410"/>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C6241-2212-4B5D-956B-C1DA146969B3}">
  <sheetPr>
    <tabColor rgb="FF538DD5"/>
  </sheetPr>
  <dimension ref="A1:BA140"/>
  <sheetViews>
    <sheetView showGridLines="0" topLeftCell="A16" zoomScale="85" zoomScaleNormal="85" workbookViewId="0">
      <selection activeCell="D22" sqref="D22"/>
    </sheetView>
  </sheetViews>
  <sheetFormatPr defaultRowHeight="12.6"/>
  <cols>
    <col min="1" max="1" width="25.703125" bestFit="1" customWidth="1"/>
    <col min="2" max="2" width="8.17578125" customWidth="1"/>
    <col min="3" max="3" width="8.8203125" bestFit="1" customWidth="1"/>
    <col min="4" max="4" width="12.46875" bestFit="1" customWidth="1"/>
    <col min="5" max="5" width="16.41015625" customWidth="1"/>
    <col min="6" max="6" width="5.29296875" bestFit="1" customWidth="1"/>
    <col min="7" max="7" width="15.17578125" bestFit="1" customWidth="1"/>
    <col min="8" max="8" width="20.29296875" bestFit="1" customWidth="1"/>
    <col min="9" max="9" width="13.17578125" customWidth="1"/>
    <col min="10" max="10" width="21.41015625" bestFit="1" customWidth="1"/>
    <col min="11" max="11" width="9.29296875" bestFit="1" customWidth="1"/>
    <col min="12" max="12" width="16.8203125" bestFit="1" customWidth="1"/>
    <col min="13" max="13" width="19.87890625" bestFit="1" customWidth="1"/>
    <col min="14" max="14" width="21.29296875" bestFit="1" customWidth="1"/>
    <col min="19" max="19" width="40.46875" bestFit="1" customWidth="1"/>
    <col min="20" max="20" width="6.17578125" bestFit="1" customWidth="1"/>
    <col min="21" max="21" width="8.8203125" bestFit="1" customWidth="1"/>
  </cols>
  <sheetData>
    <row r="1" spans="1:53">
      <c r="P1" s="486"/>
      <c r="Q1" s="486"/>
      <c r="R1" s="486"/>
      <c r="S1" s="486"/>
      <c r="T1" s="486"/>
      <c r="U1" s="486"/>
      <c r="V1" s="486"/>
      <c r="W1" s="486"/>
      <c r="X1" s="486"/>
      <c r="Y1" s="486"/>
      <c r="Z1" s="486"/>
      <c r="AA1" s="486"/>
      <c r="AB1" s="486"/>
      <c r="AC1" s="486"/>
      <c r="AD1" s="486"/>
      <c r="AE1" s="486"/>
      <c r="AF1" s="486"/>
      <c r="AG1" s="486"/>
      <c r="AH1" s="486"/>
      <c r="AI1" s="486"/>
      <c r="AJ1" s="486"/>
      <c r="AK1" s="486"/>
      <c r="AL1" s="486"/>
      <c r="AM1" s="486"/>
      <c r="AN1" s="486"/>
      <c r="AO1" s="486"/>
      <c r="AP1" s="486"/>
      <c r="AQ1" s="486"/>
      <c r="AR1" s="486"/>
      <c r="AS1" s="486"/>
      <c r="AT1" s="486"/>
      <c r="AU1" s="486"/>
      <c r="AV1" s="486"/>
      <c r="AW1" s="486"/>
      <c r="AX1" s="486"/>
      <c r="AY1" s="486"/>
      <c r="AZ1" s="486"/>
      <c r="BA1" s="486"/>
    </row>
    <row r="2" spans="1:53">
      <c r="I2" s="487"/>
      <c r="P2" s="486"/>
      <c r="Q2" s="486"/>
      <c r="R2" s="486"/>
      <c r="S2" s="486"/>
      <c r="T2" s="486"/>
      <c r="U2" s="486"/>
      <c r="V2" s="486"/>
      <c r="W2" s="486"/>
      <c r="X2" s="486"/>
      <c r="Y2" s="486"/>
      <c r="Z2" s="486"/>
      <c r="AA2" s="486"/>
      <c r="AB2" s="486"/>
      <c r="AC2" s="486"/>
      <c r="AD2" s="486"/>
      <c r="AE2" s="486"/>
      <c r="AF2" s="486"/>
      <c r="AG2" s="486"/>
      <c r="AH2" s="486"/>
      <c r="AI2" s="486"/>
      <c r="AJ2" s="486"/>
      <c r="AK2" s="486"/>
      <c r="AL2" s="486"/>
      <c r="AM2" s="486"/>
      <c r="AN2" s="486"/>
      <c r="AO2" s="486"/>
      <c r="AP2" s="486"/>
      <c r="AQ2" s="486"/>
      <c r="AR2" s="486"/>
      <c r="AS2" s="486"/>
      <c r="AT2" s="486"/>
      <c r="AU2" s="486"/>
      <c r="AV2" s="486"/>
      <c r="AW2" s="486"/>
      <c r="AX2" s="486"/>
      <c r="AY2" s="486"/>
      <c r="AZ2" s="486"/>
      <c r="BA2" s="486"/>
    </row>
    <row r="3" spans="1:53">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6"/>
      <c r="AO3" s="486"/>
      <c r="AP3" s="486"/>
      <c r="AQ3" s="486"/>
      <c r="AR3" s="486"/>
      <c r="AS3" s="486"/>
      <c r="AT3" s="486"/>
      <c r="AU3" s="486"/>
      <c r="AV3" s="486"/>
      <c r="AW3" s="486"/>
      <c r="AX3" s="486"/>
      <c r="AY3" s="486"/>
      <c r="AZ3" s="486"/>
      <c r="BA3" s="486"/>
    </row>
    <row r="4" spans="1:53">
      <c r="P4" s="486"/>
      <c r="Q4" s="486"/>
      <c r="R4" s="486"/>
      <c r="S4" s="486"/>
      <c r="T4" s="486"/>
      <c r="U4" s="486"/>
      <c r="V4" s="486"/>
      <c r="W4" s="486"/>
      <c r="X4" s="486"/>
      <c r="Y4" s="486"/>
      <c r="Z4" s="486"/>
      <c r="AA4" s="486"/>
      <c r="AB4" s="486"/>
      <c r="AC4" s="486"/>
      <c r="AD4" s="486"/>
      <c r="AE4" s="486"/>
      <c r="AF4" s="486"/>
      <c r="AG4" s="486"/>
      <c r="AH4" s="486"/>
      <c r="AI4" s="486"/>
      <c r="AJ4" s="486"/>
      <c r="AK4" s="486"/>
      <c r="AL4" s="486"/>
      <c r="AM4" s="486"/>
      <c r="AN4" s="486"/>
      <c r="AO4" s="486"/>
      <c r="AP4" s="486"/>
      <c r="AQ4" s="486"/>
      <c r="AR4" s="486"/>
      <c r="AS4" s="486"/>
      <c r="AT4" s="486"/>
      <c r="AU4" s="486"/>
      <c r="AV4" s="486"/>
      <c r="AW4" s="486"/>
      <c r="AX4" s="486"/>
      <c r="AY4" s="486"/>
      <c r="AZ4" s="486"/>
      <c r="BA4" s="486"/>
    </row>
    <row r="5" spans="1:53">
      <c r="P5" s="486"/>
      <c r="Q5" s="486"/>
      <c r="R5" s="486"/>
      <c r="S5" s="486"/>
      <c r="T5" s="486"/>
      <c r="U5" s="486"/>
      <c r="V5" s="486"/>
      <c r="W5" s="486"/>
      <c r="X5" s="486"/>
      <c r="Y5" s="486"/>
      <c r="Z5" s="486"/>
      <c r="AA5" s="486"/>
      <c r="AB5" s="486"/>
      <c r="AC5" s="486"/>
      <c r="AD5" s="486"/>
      <c r="AE5" s="486"/>
      <c r="AF5" s="486"/>
      <c r="AG5" s="486"/>
      <c r="AH5" s="486"/>
      <c r="AI5" s="486"/>
      <c r="AJ5" s="486"/>
      <c r="AK5" s="486"/>
      <c r="AL5" s="486"/>
      <c r="AM5" s="486"/>
      <c r="AN5" s="486"/>
      <c r="AO5" s="486"/>
      <c r="AP5" s="486"/>
      <c r="AQ5" s="486"/>
      <c r="AR5" s="486"/>
      <c r="AS5" s="486"/>
      <c r="AT5" s="486"/>
      <c r="AU5" s="486"/>
      <c r="AV5" s="486"/>
      <c r="AW5" s="486"/>
      <c r="AX5" s="486"/>
      <c r="AY5" s="486"/>
      <c r="AZ5" s="486"/>
      <c r="BA5" s="486"/>
    </row>
    <row r="6" spans="1:53" ht="12.9" thickBot="1">
      <c r="P6" s="486"/>
      <c r="Q6" s="486"/>
      <c r="R6" s="486"/>
      <c r="S6" s="486"/>
      <c r="T6" s="486"/>
      <c r="U6" s="486"/>
      <c r="V6" s="486"/>
      <c r="W6" s="486"/>
      <c r="X6" s="486"/>
      <c r="Y6" s="486"/>
      <c r="Z6" s="486"/>
      <c r="AA6" s="486"/>
      <c r="AB6" s="486"/>
      <c r="AC6" s="486"/>
      <c r="AD6" s="486"/>
      <c r="AE6" s="486"/>
      <c r="AF6" s="486"/>
      <c r="AG6" s="486"/>
      <c r="AH6" s="486"/>
      <c r="AI6" s="486"/>
      <c r="AJ6" s="486"/>
      <c r="AK6" s="486"/>
      <c r="AL6" s="486"/>
      <c r="AM6" s="486"/>
      <c r="AN6" s="486"/>
      <c r="AO6" s="486"/>
      <c r="AP6" s="486"/>
      <c r="AQ6" s="486"/>
      <c r="AR6" s="486"/>
      <c r="AS6" s="486"/>
      <c r="AT6" s="486"/>
      <c r="AU6" s="486"/>
      <c r="AV6" s="486"/>
      <c r="AW6" s="486"/>
      <c r="AX6" s="486"/>
      <c r="AY6" s="486"/>
      <c r="AZ6" s="486"/>
      <c r="BA6" s="486"/>
    </row>
    <row r="7" spans="1:53" ht="14.1" thickTop="1">
      <c r="A7" s="597" t="s">
        <v>477</v>
      </c>
      <c r="B7" s="561"/>
      <c r="C7" s="561"/>
      <c r="D7" s="561"/>
      <c r="E7" s="561"/>
      <c r="H7" s="597" t="s">
        <v>478</v>
      </c>
      <c r="I7" s="561"/>
      <c r="J7" s="561"/>
      <c r="K7" s="561"/>
      <c r="L7" s="561"/>
      <c r="P7" s="486"/>
      <c r="Q7" s="486"/>
      <c r="R7" s="486"/>
      <c r="S7" s="486"/>
      <c r="T7" s="486"/>
      <c r="U7" s="486"/>
      <c r="V7" s="486"/>
      <c r="W7" s="486"/>
      <c r="X7" s="486"/>
      <c r="Y7" s="486"/>
      <c r="Z7" s="486"/>
      <c r="AA7" s="486"/>
      <c r="AB7" s="486"/>
      <c r="AC7" s="486"/>
      <c r="AD7" s="486"/>
      <c r="AE7" s="486"/>
      <c r="AF7" s="486"/>
      <c r="AG7" s="486"/>
      <c r="AH7" s="486"/>
      <c r="AI7" s="486"/>
      <c r="AJ7" s="486"/>
      <c r="AK7" s="486"/>
      <c r="AL7" s="486"/>
      <c r="AM7" s="486"/>
      <c r="AN7" s="486"/>
      <c r="AO7" s="486"/>
      <c r="AP7" s="486"/>
      <c r="AQ7" s="486"/>
      <c r="AR7" s="486"/>
      <c r="AS7" s="486"/>
      <c r="AT7" s="486"/>
      <c r="AU7" s="486"/>
      <c r="AV7" s="486"/>
      <c r="AW7" s="486"/>
      <c r="AX7" s="486"/>
      <c r="AY7" s="486"/>
      <c r="AZ7" s="486"/>
      <c r="BA7" s="486"/>
    </row>
    <row r="8" spans="1:53">
      <c r="A8" s="488"/>
      <c r="B8" s="489"/>
      <c r="C8" s="489"/>
      <c r="D8" s="490" t="s">
        <v>479</v>
      </c>
      <c r="E8" s="491"/>
      <c r="H8" s="492" t="s">
        <v>480</v>
      </c>
      <c r="I8" s="493"/>
      <c r="J8" s="378"/>
      <c r="K8" s="494">
        <v>0.6</v>
      </c>
      <c r="L8" s="495" t="s">
        <v>14</v>
      </c>
      <c r="P8" s="486"/>
      <c r="Q8" s="486"/>
      <c r="R8" s="486"/>
      <c r="S8" s="486"/>
      <c r="T8" s="486"/>
      <c r="U8" s="486"/>
      <c r="V8" s="486"/>
      <c r="W8" s="486"/>
      <c r="X8" s="486"/>
      <c r="Y8" s="486"/>
      <c r="Z8" s="486"/>
      <c r="AA8" s="486"/>
      <c r="AB8" s="486"/>
      <c r="AC8" s="486"/>
      <c r="AD8" s="486"/>
      <c r="AE8" s="486"/>
      <c r="AF8" s="486"/>
      <c r="AG8" s="486"/>
      <c r="AH8" s="486"/>
      <c r="AI8" s="486"/>
      <c r="AJ8" s="486"/>
      <c r="AK8" s="486"/>
      <c r="AL8" s="486"/>
      <c r="AM8" s="486"/>
      <c r="AN8" s="486"/>
      <c r="AO8" s="486"/>
      <c r="AP8" s="486"/>
      <c r="AQ8" s="486"/>
      <c r="AR8" s="486"/>
      <c r="AS8" s="486"/>
      <c r="AT8" s="486"/>
      <c r="AU8" s="486"/>
      <c r="AV8" s="486"/>
      <c r="AW8" s="486"/>
      <c r="AX8" s="486"/>
      <c r="AY8" s="486"/>
      <c r="AZ8" s="486"/>
      <c r="BA8" s="486"/>
    </row>
    <row r="9" spans="1:53">
      <c r="A9" s="496" t="s">
        <v>8</v>
      </c>
      <c r="B9" s="497"/>
      <c r="C9" s="156"/>
      <c r="D9" s="494">
        <f>IF(C9&lt;&gt;"",C9,'[3]Comm - Downlink'!D30*100)</f>
        <v>250</v>
      </c>
      <c r="E9" s="495" t="s">
        <v>481</v>
      </c>
      <c r="H9" s="492" t="s">
        <v>482</v>
      </c>
      <c r="I9" s="493"/>
      <c r="J9" s="156"/>
      <c r="K9" s="494">
        <v>0.7</v>
      </c>
      <c r="L9" s="495"/>
      <c r="P9" s="486"/>
      <c r="Q9" s="486"/>
      <c r="R9" s="486"/>
      <c r="S9" s="486"/>
      <c r="T9" s="486"/>
      <c r="U9" s="486"/>
      <c r="V9" s="486"/>
      <c r="W9" s="486"/>
      <c r="X9" s="486"/>
      <c r="Y9" s="486"/>
      <c r="Z9" s="486"/>
      <c r="AA9" s="486"/>
      <c r="AB9" s="486"/>
      <c r="AC9" s="486"/>
      <c r="AD9" s="486"/>
      <c r="AE9" s="486"/>
      <c r="AF9" s="486"/>
      <c r="AG9" s="486"/>
      <c r="AH9" s="486"/>
      <c r="AI9" s="486"/>
      <c r="AJ9" s="486"/>
      <c r="AK9" s="486"/>
      <c r="AL9" s="486"/>
      <c r="AM9" s="486"/>
      <c r="AN9" s="486"/>
      <c r="AO9" s="486"/>
      <c r="AP9" s="486"/>
      <c r="AQ9" s="486"/>
      <c r="AR9" s="486"/>
      <c r="AS9" s="486"/>
      <c r="AT9" s="486"/>
      <c r="AU9" s="486"/>
      <c r="AV9" s="486"/>
      <c r="AW9" s="486"/>
      <c r="AX9" s="486"/>
      <c r="AY9" s="486"/>
      <c r="AZ9" s="486"/>
      <c r="BA9" s="486"/>
    </row>
    <row r="10" spans="1:53">
      <c r="A10" s="496" t="s">
        <v>483</v>
      </c>
      <c r="B10" s="497"/>
      <c r="C10" s="497"/>
      <c r="D10" s="498">
        <f>(Speed_of_Light/D9)/1000000</f>
        <v>1.1991698319999999</v>
      </c>
      <c r="E10" s="495" t="s">
        <v>14</v>
      </c>
      <c r="H10" s="492" t="s">
        <v>484</v>
      </c>
      <c r="I10" s="493"/>
      <c r="J10" s="156"/>
      <c r="K10" s="494">
        <v>0.5</v>
      </c>
      <c r="L10" s="495" t="s">
        <v>9</v>
      </c>
      <c r="P10" s="486"/>
      <c r="Q10" s="486"/>
      <c r="R10" s="486"/>
      <c r="S10" s="486"/>
      <c r="T10" s="486"/>
      <c r="U10" s="486"/>
      <c r="V10" s="486"/>
      <c r="W10" s="486"/>
      <c r="X10" s="486"/>
      <c r="Y10" s="486"/>
      <c r="Z10" s="486"/>
      <c r="AA10" s="486"/>
      <c r="AB10" s="486"/>
      <c r="AC10" s="486"/>
      <c r="AD10" s="486"/>
      <c r="AE10" s="486"/>
      <c r="AF10" s="486"/>
      <c r="AG10" s="486"/>
      <c r="AH10" s="486"/>
      <c r="AI10" s="486"/>
      <c r="AJ10" s="486"/>
      <c r="AK10" s="486"/>
      <c r="AL10" s="486"/>
      <c r="AM10" s="486"/>
      <c r="AN10" s="486"/>
      <c r="AO10" s="486"/>
      <c r="AP10" s="486"/>
      <c r="AQ10" s="486"/>
      <c r="AR10" s="486"/>
      <c r="AS10" s="486"/>
      <c r="AT10" s="486"/>
      <c r="AU10" s="486"/>
      <c r="AV10" s="486"/>
      <c r="AW10" s="486"/>
      <c r="AX10" s="486"/>
      <c r="AY10" s="486"/>
      <c r="AZ10" s="486"/>
      <c r="BA10" s="486"/>
    </row>
    <row r="11" spans="1:53">
      <c r="A11" s="496" t="s">
        <v>485</v>
      </c>
      <c r="B11" s="497"/>
      <c r="C11" s="497"/>
      <c r="D11" s="498">
        <f>D10/2</f>
        <v>0.59958491599999997</v>
      </c>
      <c r="E11" s="495" t="s">
        <v>14</v>
      </c>
      <c r="H11" s="492" t="s">
        <v>486</v>
      </c>
      <c r="I11" s="493"/>
      <c r="J11" s="493"/>
      <c r="K11" s="498">
        <f>Speed_of_Light/(K10*1000000000)</f>
        <v>0.59958491599999997</v>
      </c>
      <c r="L11" s="495" t="s">
        <v>14</v>
      </c>
      <c r="P11" s="486"/>
      <c r="Q11" s="486"/>
      <c r="R11" s="486"/>
      <c r="S11" s="486"/>
      <c r="T11" s="486"/>
      <c r="U11" s="486"/>
      <c r="V11" s="486"/>
      <c r="W11" s="486"/>
      <c r="X11" s="486"/>
      <c r="Y11" s="486"/>
      <c r="Z11" s="486"/>
      <c r="AA11" s="486"/>
      <c r="AB11" s="486"/>
      <c r="AC11" s="486"/>
      <c r="AD11" s="486"/>
      <c r="AE11" s="486"/>
      <c r="AF11" s="486"/>
      <c r="AG11" s="486"/>
      <c r="AH11" s="486"/>
      <c r="AI11" s="486"/>
      <c r="AJ11" s="486"/>
      <c r="AK11" s="486"/>
      <c r="AL11" s="486"/>
      <c r="AM11" s="486"/>
      <c r="AN11" s="486"/>
      <c r="AO11" s="486"/>
      <c r="AP11" s="486"/>
      <c r="AQ11" s="486"/>
      <c r="AR11" s="486"/>
      <c r="AS11" s="486"/>
      <c r="AT11" s="486"/>
      <c r="AU11" s="486"/>
      <c r="AV11" s="486"/>
      <c r="AW11" s="486"/>
      <c r="AX11" s="486"/>
      <c r="AY11" s="486"/>
      <c r="AZ11" s="486"/>
      <c r="BA11" s="486"/>
    </row>
    <row r="12" spans="1:53">
      <c r="A12" s="496" t="s">
        <v>487</v>
      </c>
      <c r="B12" s="497"/>
      <c r="C12" s="497"/>
      <c r="D12" s="494">
        <v>2.15</v>
      </c>
      <c r="E12" s="495" t="s">
        <v>16</v>
      </c>
      <c r="H12" s="492" t="s">
        <v>488</v>
      </c>
      <c r="I12" s="493"/>
      <c r="J12" s="156"/>
      <c r="K12" s="494">
        <v>0.2</v>
      </c>
      <c r="L12" s="495" t="s">
        <v>14</v>
      </c>
      <c r="P12" s="486"/>
      <c r="Q12" s="486"/>
      <c r="R12" s="486"/>
      <c r="S12" s="486"/>
      <c r="T12" s="486"/>
      <c r="U12" s="486"/>
      <c r="V12" s="486"/>
      <c r="W12" s="486"/>
      <c r="X12" s="486"/>
      <c r="Y12" s="486"/>
      <c r="Z12" s="486"/>
      <c r="AA12" s="486"/>
      <c r="AB12" s="486"/>
      <c r="AC12" s="486"/>
      <c r="AD12" s="486"/>
      <c r="AE12" s="486"/>
      <c r="AF12" s="486"/>
      <c r="AG12" s="486"/>
      <c r="AH12" s="486"/>
      <c r="AI12" s="486"/>
      <c r="AJ12" s="486"/>
      <c r="AK12" s="486"/>
      <c r="AL12" s="486"/>
      <c r="AM12" s="486"/>
      <c r="AN12" s="486"/>
      <c r="AO12" s="486"/>
      <c r="AP12" s="486"/>
      <c r="AQ12" s="486"/>
      <c r="AR12" s="486"/>
      <c r="AS12" s="486"/>
      <c r="AT12" s="486"/>
      <c r="AU12" s="486"/>
      <c r="AV12" s="486"/>
      <c r="AW12" s="486"/>
      <c r="AX12" s="486"/>
      <c r="AY12" s="486"/>
      <c r="AZ12" s="486"/>
      <c r="BA12" s="486"/>
    </row>
    <row r="13" spans="1:53">
      <c r="A13" s="496" t="s">
        <v>489</v>
      </c>
      <c r="B13" s="497"/>
      <c r="C13" s="497"/>
      <c r="D13" s="499">
        <f>0.13*D10^2</f>
        <v>0.18694107717725805</v>
      </c>
      <c r="E13" s="495" t="s">
        <v>14</v>
      </c>
      <c r="H13" s="492" t="s">
        <v>490</v>
      </c>
      <c r="I13" s="493"/>
      <c r="J13" s="493"/>
      <c r="K13" s="498">
        <f>10.3+10*LOG((W40^2*K8)/K11^3)</f>
        <v>10.709588913241475</v>
      </c>
      <c r="L13" s="495" t="s">
        <v>16</v>
      </c>
      <c r="P13" s="486"/>
      <c r="Q13" s="486"/>
      <c r="R13" s="486"/>
      <c r="S13" s="486"/>
      <c r="T13" s="486"/>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AW13" s="486"/>
      <c r="AX13" s="486"/>
      <c r="AY13" s="486"/>
      <c r="AZ13" s="486"/>
      <c r="BA13" s="486"/>
    </row>
    <row r="14" spans="1:53" ht="12.9" thickBot="1">
      <c r="A14" s="496" t="s">
        <v>31</v>
      </c>
      <c r="B14" s="497"/>
      <c r="C14" s="497"/>
      <c r="D14" s="499">
        <v>78</v>
      </c>
      <c r="E14" s="495" t="s">
        <v>491</v>
      </c>
      <c r="H14" s="500" t="s">
        <v>492</v>
      </c>
      <c r="I14" s="501"/>
      <c r="J14" s="501"/>
      <c r="K14" s="502">
        <f>52/SQRT(W40^2*K8/K11^3)</f>
        <v>49.604822274794635</v>
      </c>
      <c r="L14" s="503" t="s">
        <v>491</v>
      </c>
      <c r="P14" s="486"/>
      <c r="Q14" s="486"/>
      <c r="R14" s="486"/>
      <c r="S14" s="486"/>
      <c r="T14" s="486"/>
      <c r="U14" s="486"/>
      <c r="V14" s="486"/>
      <c r="W14" s="486"/>
      <c r="X14" s="486"/>
      <c r="Y14" s="486"/>
      <c r="Z14" s="486"/>
      <c r="AA14" s="486"/>
      <c r="AB14" s="486"/>
      <c r="AC14" s="486"/>
      <c r="AD14" s="486"/>
      <c r="AE14" s="486"/>
      <c r="AF14" s="486"/>
      <c r="AG14" s="486"/>
      <c r="AH14" s="486"/>
      <c r="AI14" s="486"/>
      <c r="AJ14" s="486"/>
      <c r="AK14" s="486"/>
      <c r="AL14" s="486"/>
      <c r="AM14" s="486"/>
      <c r="AN14" s="486"/>
      <c r="AO14" s="486"/>
      <c r="AP14" s="486"/>
      <c r="AQ14" s="486"/>
      <c r="AR14" s="486"/>
      <c r="AS14" s="486"/>
      <c r="AT14" s="486"/>
      <c r="AU14" s="486"/>
      <c r="AV14" s="486"/>
      <c r="AW14" s="486"/>
      <c r="AX14" s="486"/>
      <c r="AY14" s="486"/>
      <c r="AZ14" s="486"/>
      <c r="BA14" s="486"/>
    </row>
    <row r="15" spans="1:53" ht="12.9" thickTop="1">
      <c r="A15" s="496" t="s">
        <v>493</v>
      </c>
      <c r="B15" s="499"/>
      <c r="C15" s="499"/>
      <c r="D15" s="499">
        <v>73</v>
      </c>
      <c r="E15" s="495" t="s">
        <v>494</v>
      </c>
      <c r="P15" s="486"/>
      <c r="Q15" s="504"/>
      <c r="R15" s="504"/>
      <c r="S15" s="504"/>
      <c r="T15" s="504"/>
      <c r="U15" s="504"/>
      <c r="V15" s="504"/>
      <c r="W15" s="504"/>
      <c r="X15" s="504"/>
      <c r="Y15" s="504"/>
      <c r="Z15" s="504"/>
      <c r="AA15" s="504"/>
      <c r="AB15" s="504"/>
      <c r="AC15" s="504"/>
      <c r="AD15" s="486"/>
      <c r="AE15" s="486"/>
      <c r="AF15" s="486"/>
      <c r="AG15" s="486"/>
      <c r="AH15" s="486"/>
      <c r="AI15" s="486"/>
      <c r="AJ15" s="486"/>
      <c r="AK15" s="486"/>
      <c r="AL15" s="486"/>
      <c r="AM15" s="486"/>
      <c r="AN15" s="486"/>
      <c r="AO15" s="486"/>
      <c r="AP15" s="486"/>
      <c r="AQ15" s="486"/>
      <c r="AR15" s="486"/>
      <c r="AS15" s="486"/>
      <c r="AT15" s="486"/>
      <c r="AU15" s="486"/>
      <c r="AV15" s="486"/>
      <c r="AW15" s="486"/>
      <c r="AX15" s="486"/>
      <c r="AY15" s="486"/>
      <c r="AZ15" s="486"/>
      <c r="BA15" s="486"/>
    </row>
    <row r="16" spans="1:53" ht="12.9" thickBot="1">
      <c r="P16" s="486"/>
      <c r="Q16" s="504"/>
      <c r="R16" s="504"/>
      <c r="S16" s="504"/>
      <c r="T16" s="504"/>
      <c r="U16" s="504"/>
      <c r="V16" s="504"/>
      <c r="W16" s="504"/>
      <c r="X16" s="504"/>
      <c r="Y16" s="504"/>
      <c r="Z16" s="504"/>
      <c r="AA16" s="504"/>
      <c r="AB16" s="504"/>
      <c r="AC16" s="504"/>
      <c r="AD16" s="486"/>
      <c r="AE16" s="486"/>
      <c r="AF16" s="486"/>
      <c r="AG16" s="486"/>
      <c r="AH16" s="486"/>
      <c r="AI16" s="486"/>
      <c r="AJ16" s="486"/>
      <c r="AK16" s="486"/>
      <c r="AL16" s="486"/>
      <c r="AM16" s="486"/>
      <c r="AN16" s="486"/>
      <c r="AO16" s="486"/>
      <c r="AP16" s="486"/>
      <c r="AQ16" s="486"/>
      <c r="AR16" s="486"/>
      <c r="AS16" s="486"/>
      <c r="AT16" s="486"/>
      <c r="AU16" s="486"/>
      <c r="AV16" s="486"/>
      <c r="AW16" s="486"/>
      <c r="AX16" s="486"/>
      <c r="AY16" s="486"/>
      <c r="AZ16" s="486"/>
      <c r="BA16" s="486"/>
    </row>
    <row r="17" spans="1:53" ht="14.1" thickTop="1">
      <c r="A17" s="597" t="s">
        <v>495</v>
      </c>
      <c r="B17" s="561"/>
      <c r="C17" s="561"/>
      <c r="D17" s="561"/>
      <c r="E17" s="562"/>
      <c r="H17" s="597" t="s">
        <v>496</v>
      </c>
      <c r="I17" s="561"/>
      <c r="J17" s="561"/>
      <c r="K17" s="562"/>
      <c r="P17" s="486"/>
      <c r="Q17" s="504" t="s">
        <v>497</v>
      </c>
      <c r="R17" s="504"/>
      <c r="S17" s="504"/>
      <c r="T17" s="504"/>
      <c r="U17" s="504"/>
      <c r="V17" s="504" t="s">
        <v>498</v>
      </c>
      <c r="W17" s="504">
        <v>-8</v>
      </c>
      <c r="X17" s="504" t="s">
        <v>499</v>
      </c>
      <c r="Y17" s="504"/>
      <c r="Z17" s="504" t="s">
        <v>500</v>
      </c>
      <c r="AA17" s="504">
        <v>80</v>
      </c>
      <c r="AB17" s="504"/>
      <c r="AC17" s="504"/>
      <c r="AD17" s="486"/>
      <c r="AE17" s="486"/>
      <c r="AF17" s="486"/>
      <c r="AG17" s="486"/>
      <c r="AH17" s="486"/>
      <c r="AI17" s="486"/>
      <c r="AJ17" s="486"/>
      <c r="AK17" s="486"/>
      <c r="AL17" s="486"/>
      <c r="AM17" s="486"/>
      <c r="AN17" s="486"/>
      <c r="AO17" s="486"/>
      <c r="AP17" s="486"/>
      <c r="AQ17" s="486"/>
      <c r="AR17" s="486"/>
      <c r="AS17" s="486"/>
      <c r="AT17" s="486"/>
      <c r="AU17" s="486"/>
      <c r="AV17" s="486"/>
      <c r="AW17" s="486"/>
      <c r="AX17" s="486"/>
      <c r="AY17" s="486"/>
      <c r="AZ17" s="486"/>
      <c r="BA17" s="486"/>
    </row>
    <row r="18" spans="1:53">
      <c r="A18" s="488"/>
      <c r="B18" s="489"/>
      <c r="C18" s="489"/>
      <c r="D18" s="490" t="s">
        <v>501</v>
      </c>
      <c r="E18" s="505"/>
      <c r="H18" s="492" t="s">
        <v>488</v>
      </c>
      <c r="I18" s="378"/>
      <c r="J18" s="494">
        <v>0.6</v>
      </c>
      <c r="K18" s="495" t="s">
        <v>14</v>
      </c>
      <c r="P18" s="486"/>
      <c r="Q18" s="504" t="s">
        <v>502</v>
      </c>
      <c r="R18" s="504"/>
      <c r="S18" s="504"/>
      <c r="T18" s="504"/>
      <c r="U18" s="504"/>
      <c r="V18" s="504" t="s">
        <v>498</v>
      </c>
      <c r="W18" s="504">
        <v>2.15</v>
      </c>
      <c r="X18" s="504" t="s">
        <v>499</v>
      </c>
      <c r="Y18" s="504"/>
      <c r="Z18" s="504" t="s">
        <v>500</v>
      </c>
      <c r="AA18" s="504">
        <v>156.19999999999999</v>
      </c>
      <c r="AB18" s="504"/>
      <c r="AC18" s="504"/>
      <c r="AD18" s="486"/>
      <c r="AE18" s="486"/>
      <c r="AF18" s="486"/>
      <c r="AG18" s="486"/>
      <c r="AH18" s="486"/>
      <c r="AI18" s="486"/>
      <c r="AJ18" s="486"/>
      <c r="AK18" s="486"/>
      <c r="AL18" s="486"/>
      <c r="AM18" s="486"/>
      <c r="AN18" s="486"/>
      <c r="AO18" s="486"/>
      <c r="AP18" s="486"/>
      <c r="AQ18" s="486"/>
      <c r="AR18" s="486"/>
      <c r="AS18" s="486"/>
      <c r="AT18" s="486"/>
      <c r="AU18" s="486"/>
      <c r="AV18" s="486"/>
      <c r="AW18" s="486"/>
      <c r="AX18" s="486"/>
      <c r="AY18" s="486"/>
      <c r="AZ18" s="486"/>
      <c r="BA18" s="486"/>
    </row>
    <row r="19" spans="1:53">
      <c r="A19" s="496" t="s">
        <v>8</v>
      </c>
      <c r="B19" s="497"/>
      <c r="C19" s="156"/>
      <c r="D19" s="497">
        <f>$D$9</f>
        <v>250</v>
      </c>
      <c r="E19" s="495" t="s">
        <v>481</v>
      </c>
      <c r="H19" s="492" t="s">
        <v>482</v>
      </c>
      <c r="I19" s="378"/>
      <c r="J19" s="494">
        <v>0.52</v>
      </c>
      <c r="K19" s="495"/>
      <c r="P19" s="486"/>
      <c r="Q19" s="504" t="s">
        <v>503</v>
      </c>
      <c r="R19" s="504"/>
      <c r="S19" s="504"/>
      <c r="T19" s="504"/>
      <c r="U19" s="504"/>
      <c r="V19" s="504" t="s">
        <v>498</v>
      </c>
      <c r="W19" s="504">
        <v>0.5</v>
      </c>
      <c r="X19" s="504" t="s">
        <v>504</v>
      </c>
      <c r="Y19" s="504" t="s">
        <v>505</v>
      </c>
      <c r="Z19" s="504" t="s">
        <v>500</v>
      </c>
      <c r="AA19" s="504">
        <v>180</v>
      </c>
      <c r="AB19" s="504"/>
      <c r="AC19" s="504"/>
      <c r="AD19" s="486"/>
      <c r="AE19" s="486"/>
      <c r="AF19" s="486"/>
      <c r="AG19" s="486"/>
      <c r="AH19" s="486"/>
      <c r="AI19" s="486"/>
      <c r="AJ19" s="486"/>
      <c r="AK19" s="486"/>
      <c r="AL19" s="486"/>
      <c r="AM19" s="486"/>
      <c r="AN19" s="486"/>
      <c r="AO19" s="486"/>
      <c r="AP19" s="486"/>
      <c r="AQ19" s="486"/>
      <c r="AR19" s="486"/>
      <c r="AS19" s="486"/>
      <c r="AT19" s="486"/>
      <c r="AU19" s="486"/>
      <c r="AV19" s="486"/>
      <c r="AW19" s="486"/>
      <c r="AX19" s="486"/>
      <c r="AY19" s="486"/>
      <c r="AZ19" s="486"/>
      <c r="BA19" s="486"/>
    </row>
    <row r="20" spans="1:53">
      <c r="A20" s="496" t="s">
        <v>483</v>
      </c>
      <c r="B20" s="497"/>
      <c r="C20" s="497"/>
      <c r="D20" s="506">
        <f>(Speed_of_Light/D19)/1000000</f>
        <v>1.1991698319999999</v>
      </c>
      <c r="E20" s="495" t="s">
        <v>14</v>
      </c>
      <c r="H20" s="492" t="s">
        <v>484</v>
      </c>
      <c r="I20" s="378"/>
      <c r="J20" s="494">
        <v>2</v>
      </c>
      <c r="K20" s="495" t="s">
        <v>9</v>
      </c>
      <c r="P20" s="486"/>
      <c r="Q20" s="504" t="s">
        <v>506</v>
      </c>
      <c r="R20" s="504"/>
      <c r="S20" s="504" t="s">
        <v>507</v>
      </c>
      <c r="T20" s="504" t="s">
        <v>508</v>
      </c>
      <c r="U20" s="504"/>
      <c r="V20" s="504" t="s">
        <v>498</v>
      </c>
      <c r="W20" s="504">
        <v>4</v>
      </c>
      <c r="X20" s="504" t="s">
        <v>504</v>
      </c>
      <c r="Y20" s="504"/>
      <c r="Z20" s="504" t="s">
        <v>500</v>
      </c>
      <c r="AA20" s="504">
        <v>150</v>
      </c>
      <c r="AB20" s="504"/>
      <c r="AC20" s="504"/>
      <c r="AD20" s="486"/>
      <c r="AE20" s="486"/>
      <c r="AF20" s="486"/>
      <c r="AG20" s="486"/>
      <c r="AH20" s="486"/>
      <c r="AI20" s="486"/>
      <c r="AJ20" s="486"/>
      <c r="AK20" s="486"/>
      <c r="AL20" s="486"/>
      <c r="AM20" s="486"/>
      <c r="AN20" s="486"/>
      <c r="AO20" s="486"/>
      <c r="AP20" s="486"/>
      <c r="AQ20" s="486"/>
      <c r="AR20" s="486"/>
      <c r="AS20" s="486"/>
      <c r="AT20" s="486"/>
      <c r="AU20" s="486"/>
      <c r="AV20" s="486"/>
      <c r="AW20" s="486"/>
      <c r="AX20" s="486"/>
      <c r="AY20" s="486"/>
      <c r="AZ20" s="486"/>
      <c r="BA20" s="486"/>
    </row>
    <row r="21" spans="1:53">
      <c r="A21" s="496" t="s">
        <v>485</v>
      </c>
      <c r="B21" s="497"/>
      <c r="C21" s="497"/>
      <c r="D21" s="506">
        <f>D20/4</f>
        <v>0.29979245799999998</v>
      </c>
      <c r="E21" s="495" t="s">
        <v>14</v>
      </c>
      <c r="H21" s="492" t="s">
        <v>486</v>
      </c>
      <c r="I21" s="493"/>
      <c r="J21" s="499">
        <f>Speed_of_Light/(J20*1000000000)</f>
        <v>0.14989622899999999</v>
      </c>
      <c r="K21" s="495" t="s">
        <v>14</v>
      </c>
      <c r="P21" s="486"/>
      <c r="Q21" s="504" t="s">
        <v>509</v>
      </c>
      <c r="R21" s="504"/>
      <c r="S21" s="504" t="s">
        <v>510</v>
      </c>
      <c r="T21" s="504"/>
      <c r="U21" s="504"/>
      <c r="V21" s="504" t="s">
        <v>498</v>
      </c>
      <c r="W21" s="504">
        <v>5</v>
      </c>
      <c r="X21" s="504" t="s">
        <v>511</v>
      </c>
      <c r="Y21" s="504"/>
      <c r="Z21" s="504" t="s">
        <v>500</v>
      </c>
      <c r="AA21" s="504">
        <v>60</v>
      </c>
      <c r="AB21" s="504"/>
      <c r="AC21" s="504"/>
      <c r="AD21" s="486"/>
      <c r="AE21" s="486"/>
      <c r="AF21" s="486"/>
      <c r="AG21" s="486"/>
      <c r="AH21" s="486"/>
      <c r="AI21" s="486"/>
      <c r="AJ21" s="486"/>
      <c r="AK21" s="486"/>
      <c r="AL21" s="486"/>
      <c r="AM21" s="486"/>
      <c r="AN21" s="486"/>
      <c r="AO21" s="486"/>
      <c r="AP21" s="486"/>
      <c r="AQ21" s="486"/>
      <c r="AR21" s="486"/>
      <c r="AS21" s="486"/>
      <c r="AT21" s="486"/>
      <c r="AU21" s="486"/>
      <c r="AV21" s="486"/>
      <c r="AW21" s="486"/>
      <c r="AX21" s="486"/>
      <c r="AY21" s="486"/>
      <c r="AZ21" s="486"/>
      <c r="BA21" s="486"/>
    </row>
    <row r="22" spans="1:53">
      <c r="A22" s="496" t="s">
        <v>487</v>
      </c>
      <c r="B22" s="497"/>
      <c r="C22" s="497"/>
      <c r="D22" s="497">
        <v>5.14</v>
      </c>
      <c r="E22" s="495" t="s">
        <v>16</v>
      </c>
      <c r="H22" s="492" t="s">
        <v>490</v>
      </c>
      <c r="I22" s="493"/>
      <c r="J22" s="498">
        <f>20*LOG(PI()*J18/J21)-2.8</f>
        <v>19.190208316276621</v>
      </c>
      <c r="K22" s="495" t="s">
        <v>16</v>
      </c>
      <c r="P22" s="486"/>
      <c r="Q22" s="504" t="s">
        <v>512</v>
      </c>
      <c r="R22" s="504"/>
      <c r="S22" s="504"/>
      <c r="T22" s="504"/>
      <c r="U22" s="504"/>
      <c r="V22" s="504" t="s">
        <v>498</v>
      </c>
      <c r="W22" s="504">
        <v>34.715446825044083</v>
      </c>
      <c r="X22" s="504" t="s">
        <v>511</v>
      </c>
      <c r="Y22" s="504"/>
      <c r="Z22" s="504" t="s">
        <v>500</v>
      </c>
      <c r="AA22" s="504">
        <v>2.8571428571428568</v>
      </c>
      <c r="AB22" s="504"/>
      <c r="AC22" s="504"/>
      <c r="AD22" s="486"/>
      <c r="AE22" s="486"/>
      <c r="AF22" s="486"/>
      <c r="AG22" s="486"/>
      <c r="AH22" s="486"/>
      <c r="AI22" s="486"/>
      <c r="AJ22" s="486"/>
      <c r="AK22" s="486"/>
      <c r="AL22" s="486"/>
      <c r="AM22" s="486"/>
      <c r="AN22" s="486"/>
      <c r="AO22" s="486"/>
      <c r="AP22" s="486"/>
      <c r="AQ22" s="486"/>
      <c r="AR22" s="486"/>
      <c r="AS22" s="486"/>
      <c r="AT22" s="486"/>
      <c r="AU22" s="486"/>
      <c r="AV22" s="486"/>
      <c r="AW22" s="486"/>
      <c r="AX22" s="486"/>
      <c r="AY22" s="486"/>
      <c r="AZ22" s="486"/>
      <c r="BA22" s="486"/>
    </row>
    <row r="23" spans="1:53" ht="12.9" thickBot="1">
      <c r="A23" s="496" t="s">
        <v>31</v>
      </c>
      <c r="B23" s="497"/>
      <c r="C23" s="497"/>
      <c r="D23" s="499">
        <v>40</v>
      </c>
      <c r="E23" s="495" t="s">
        <v>491</v>
      </c>
      <c r="H23" s="500" t="s">
        <v>513</v>
      </c>
      <c r="I23" s="501"/>
      <c r="J23" s="507">
        <f>(225/(PI()*J18/J21))/2</f>
        <v>8.9462721735692661</v>
      </c>
      <c r="K23" s="503" t="s">
        <v>491</v>
      </c>
      <c r="P23" s="486"/>
      <c r="Q23" s="504" t="s">
        <v>509</v>
      </c>
      <c r="R23" s="504"/>
      <c r="S23" s="504" t="s">
        <v>514</v>
      </c>
      <c r="T23" s="504"/>
      <c r="U23" s="504"/>
      <c r="V23" s="504" t="s">
        <v>498</v>
      </c>
      <c r="W23" s="504">
        <v>5.5</v>
      </c>
      <c r="X23" s="504" t="s">
        <v>515</v>
      </c>
      <c r="Y23" s="504"/>
      <c r="Z23" s="504" t="s">
        <v>500</v>
      </c>
      <c r="AA23" s="504">
        <v>150</v>
      </c>
      <c r="AB23" s="504"/>
      <c r="AC23" s="504"/>
      <c r="AD23" s="486"/>
      <c r="AE23" s="486"/>
      <c r="AF23" s="486"/>
      <c r="AG23" s="486"/>
      <c r="AH23" s="486"/>
      <c r="AI23" s="486"/>
      <c r="AJ23" s="486"/>
      <c r="AK23" s="486"/>
      <c r="AL23" s="486"/>
      <c r="AM23" s="486"/>
      <c r="AN23" s="486"/>
      <c r="AO23" s="486"/>
      <c r="AP23" s="486"/>
      <c r="AQ23" s="486"/>
      <c r="AR23" s="486"/>
      <c r="AS23" s="486"/>
      <c r="AT23" s="486"/>
      <c r="AU23" s="486"/>
      <c r="AV23" s="486"/>
      <c r="AW23" s="486"/>
      <c r="AX23" s="486"/>
      <c r="AY23" s="486"/>
      <c r="AZ23" s="486"/>
      <c r="BA23" s="486"/>
    </row>
    <row r="24" spans="1:53" ht="13.2" thickTop="1" thickBot="1">
      <c r="A24" s="508" t="s">
        <v>493</v>
      </c>
      <c r="B24" s="507"/>
      <c r="C24" s="507"/>
      <c r="D24" s="507">
        <v>36.5</v>
      </c>
      <c r="E24" s="503" t="s">
        <v>494</v>
      </c>
      <c r="P24" s="486"/>
      <c r="Q24" s="504"/>
      <c r="R24" s="504"/>
      <c r="S24" s="504"/>
      <c r="T24" s="504"/>
      <c r="U24" s="504"/>
      <c r="V24" s="504"/>
      <c r="W24" s="504"/>
      <c r="X24" s="504"/>
      <c r="Y24" s="504"/>
      <c r="Z24" s="504"/>
      <c r="AA24" s="504"/>
      <c r="AB24" s="504"/>
      <c r="AC24" s="504"/>
      <c r="AD24" s="486"/>
      <c r="AE24" s="486"/>
      <c r="AF24" s="486"/>
      <c r="AG24" s="486"/>
      <c r="AH24" s="486"/>
      <c r="AI24" s="486"/>
      <c r="AJ24" s="486"/>
      <c r="AK24" s="486"/>
      <c r="AL24" s="486"/>
      <c r="AM24" s="486"/>
      <c r="AN24" s="486"/>
      <c r="AO24" s="486"/>
      <c r="AP24" s="486"/>
      <c r="AQ24" s="486"/>
      <c r="AR24" s="486"/>
      <c r="AS24" s="486"/>
      <c r="AT24" s="486"/>
      <c r="AU24" s="486"/>
      <c r="AV24" s="486"/>
      <c r="AW24" s="486"/>
      <c r="AX24" s="486"/>
      <c r="AY24" s="486"/>
      <c r="AZ24" s="486"/>
      <c r="BA24" s="486"/>
    </row>
    <row r="25" spans="1:53" ht="13.2" thickTop="1" thickBot="1">
      <c r="P25" s="486"/>
      <c r="Q25" s="504"/>
      <c r="R25" s="504"/>
      <c r="S25" s="504"/>
      <c r="T25" s="504"/>
      <c r="U25" s="504"/>
      <c r="V25" s="504"/>
      <c r="W25" s="504"/>
      <c r="X25" s="504"/>
      <c r="Y25" s="504"/>
      <c r="Z25" s="504"/>
      <c r="AA25" s="504"/>
      <c r="AB25" s="504"/>
      <c r="AC25" s="504"/>
      <c r="AD25" s="486"/>
      <c r="AE25" s="486"/>
      <c r="AF25" s="486"/>
      <c r="AG25" s="486"/>
      <c r="AH25" s="486"/>
      <c r="AI25" s="486"/>
      <c r="AJ25" s="486"/>
      <c r="AK25" s="486"/>
      <c r="AL25" s="486"/>
      <c r="AM25" s="486"/>
      <c r="AN25" s="486"/>
      <c r="AO25" s="486"/>
      <c r="AP25" s="486"/>
      <c r="AQ25" s="486"/>
      <c r="AR25" s="486"/>
      <c r="AS25" s="486"/>
      <c r="AT25" s="486"/>
      <c r="AU25" s="486"/>
      <c r="AV25" s="486"/>
      <c r="AW25" s="486"/>
      <c r="AX25" s="486"/>
      <c r="AY25" s="486"/>
      <c r="AZ25" s="486"/>
      <c r="BA25" s="486"/>
    </row>
    <row r="26" spans="1:53" ht="14.1" thickTop="1">
      <c r="H26" s="597" t="s">
        <v>516</v>
      </c>
      <c r="I26" s="561"/>
      <c r="J26" s="561"/>
      <c r="K26" s="562"/>
      <c r="P26" s="486"/>
      <c r="Q26" s="486"/>
      <c r="R26" s="486"/>
      <c r="S26" s="486"/>
      <c r="T26" s="486"/>
      <c r="U26" s="486"/>
      <c r="V26" s="486"/>
      <c r="W26" s="486"/>
      <c r="X26" s="486"/>
      <c r="Y26" s="486"/>
      <c r="Z26" s="486"/>
      <c r="AA26" s="486"/>
      <c r="AB26" s="486"/>
      <c r="AC26" s="486"/>
      <c r="AD26" s="486"/>
      <c r="AE26" s="486"/>
      <c r="AF26" s="486"/>
      <c r="AG26" s="486"/>
      <c r="AH26" s="486"/>
      <c r="AI26" s="486"/>
      <c r="AJ26" s="486"/>
      <c r="AK26" s="486"/>
      <c r="AL26" s="486"/>
      <c r="AM26" s="486"/>
      <c r="AN26" s="486"/>
      <c r="AO26" s="486"/>
      <c r="AP26" s="486"/>
      <c r="AQ26" s="486"/>
      <c r="AR26" s="486"/>
      <c r="AS26" s="486"/>
      <c r="AT26" s="486"/>
      <c r="AU26" s="486"/>
      <c r="AV26" s="486"/>
      <c r="AW26" s="486"/>
      <c r="AX26" s="486"/>
      <c r="AY26" s="486"/>
      <c r="AZ26" s="486"/>
      <c r="BA26" s="486"/>
    </row>
    <row r="27" spans="1:53" ht="12.9" thickBot="1">
      <c r="G27" s="509"/>
      <c r="H27" s="492" t="s">
        <v>498</v>
      </c>
      <c r="I27" s="378"/>
      <c r="J27" s="494">
        <v>0.5</v>
      </c>
      <c r="K27" s="495" t="s">
        <v>515</v>
      </c>
      <c r="P27" s="486"/>
      <c r="Q27" s="486"/>
      <c r="R27" s="486"/>
      <c r="S27" s="486"/>
      <c r="T27" s="486"/>
      <c r="U27" s="486"/>
      <c r="V27" s="486"/>
      <c r="W27" s="486"/>
      <c r="X27" s="486"/>
      <c r="Y27" s="486"/>
      <c r="Z27" s="486"/>
      <c r="AA27" s="486"/>
      <c r="AB27" s="486"/>
      <c r="AC27" s="486"/>
      <c r="AD27" s="486"/>
      <c r="AE27" s="486"/>
      <c r="AF27" s="486"/>
      <c r="AG27" s="486"/>
      <c r="AH27" s="486"/>
      <c r="AI27" s="486"/>
      <c r="AJ27" s="486"/>
      <c r="AK27" s="486"/>
      <c r="AL27" s="486"/>
      <c r="AM27" s="486"/>
      <c r="AN27" s="486"/>
      <c r="AO27" s="486"/>
      <c r="AP27" s="486"/>
      <c r="AQ27" s="486"/>
      <c r="AR27" s="486"/>
      <c r="AS27" s="486"/>
      <c r="AT27" s="486"/>
      <c r="AU27" s="486"/>
      <c r="AV27" s="486"/>
      <c r="AW27" s="486"/>
      <c r="AX27" s="486"/>
      <c r="AY27" s="486"/>
      <c r="AZ27" s="486"/>
      <c r="BA27" s="486"/>
    </row>
    <row r="28" spans="1:53" ht="14.4" thickTop="1" thickBot="1">
      <c r="A28" s="597" t="s">
        <v>517</v>
      </c>
      <c r="B28" s="561"/>
      <c r="C28" s="561"/>
      <c r="D28" s="561"/>
      <c r="E28" s="562"/>
      <c r="H28" s="500" t="s">
        <v>513</v>
      </c>
      <c r="I28" s="510"/>
      <c r="J28" s="511">
        <v>90</v>
      </c>
      <c r="K28" s="503" t="s">
        <v>25</v>
      </c>
      <c r="P28" s="486"/>
      <c r="Q28" s="486"/>
      <c r="R28" s="486"/>
      <c r="S28" s="486"/>
      <c r="T28" s="486"/>
      <c r="U28" s="486"/>
      <c r="V28" s="486"/>
      <c r="W28" s="486"/>
      <c r="X28" s="486"/>
      <c r="Y28" s="486"/>
      <c r="Z28" s="486"/>
      <c r="AA28" s="486"/>
      <c r="AB28" s="486"/>
      <c r="AC28" s="486"/>
      <c r="AD28" s="486"/>
      <c r="AE28" s="486"/>
      <c r="AF28" s="486"/>
      <c r="AG28" s="486"/>
      <c r="AH28" s="486"/>
      <c r="AI28" s="486"/>
      <c r="AJ28" s="486"/>
      <c r="AK28" s="486"/>
      <c r="AL28" s="486"/>
      <c r="AM28" s="486"/>
      <c r="AN28" s="486"/>
      <c r="AO28" s="486"/>
      <c r="AP28" s="486"/>
      <c r="AQ28" s="486"/>
      <c r="AR28" s="486"/>
      <c r="AS28" s="486"/>
      <c r="AT28" s="486"/>
      <c r="AU28" s="486"/>
      <c r="AV28" s="486"/>
      <c r="AW28" s="486"/>
      <c r="AX28" s="486"/>
      <c r="AY28" s="486"/>
      <c r="AZ28" s="486"/>
      <c r="BA28" s="486"/>
    </row>
    <row r="29" spans="1:53" ht="12" customHeight="1" thickTop="1">
      <c r="A29" s="492" t="s">
        <v>518</v>
      </c>
      <c r="B29" s="156"/>
      <c r="C29" s="494">
        <v>2.2000000000000002</v>
      </c>
      <c r="D29" s="494"/>
      <c r="E29" s="495"/>
      <c r="P29" s="486"/>
      <c r="Q29" s="486"/>
      <c r="R29" s="486"/>
      <c r="S29" s="486"/>
      <c r="T29" s="486"/>
      <c r="U29" s="486"/>
      <c r="V29" s="486"/>
      <c r="W29" s="486"/>
      <c r="X29" s="486"/>
      <c r="Y29" s="486"/>
      <c r="Z29" s="486"/>
      <c r="AA29" s="486"/>
      <c r="AB29" s="486"/>
      <c r="AC29" s="486"/>
      <c r="AD29" s="486"/>
      <c r="AE29" s="486"/>
      <c r="AF29" s="486"/>
      <c r="AG29" s="486"/>
      <c r="AH29" s="486"/>
      <c r="AI29" s="486"/>
      <c r="AJ29" s="486"/>
      <c r="AK29" s="486"/>
      <c r="AL29" s="486"/>
      <c r="AM29" s="486"/>
      <c r="AN29" s="486"/>
      <c r="AO29" s="486"/>
      <c r="AP29" s="486"/>
      <c r="AQ29" s="486"/>
      <c r="AR29" s="486"/>
      <c r="AS29" s="486"/>
      <c r="AT29" s="486"/>
      <c r="AU29" s="486"/>
      <c r="AV29" s="486"/>
      <c r="AW29" s="486"/>
      <c r="AX29" s="486"/>
      <c r="AY29" s="486"/>
      <c r="AZ29" s="486"/>
      <c r="BA29" s="486"/>
    </row>
    <row r="30" spans="1:53">
      <c r="A30" s="492" t="s">
        <v>519</v>
      </c>
      <c r="B30" s="156">
        <v>1E-3</v>
      </c>
      <c r="C30" s="512">
        <f>B30</f>
        <v>1E-3</v>
      </c>
      <c r="D30" s="512"/>
      <c r="E30" s="495" t="s">
        <v>14</v>
      </c>
      <c r="P30" s="486"/>
      <c r="Q30" s="486"/>
      <c r="R30" s="486"/>
      <c r="S30" s="486"/>
      <c r="T30" s="486"/>
      <c r="U30" s="486"/>
      <c r="V30" s="486"/>
      <c r="W30" s="486"/>
      <c r="X30" s="486"/>
      <c r="Y30" s="486"/>
      <c r="Z30" s="486"/>
      <c r="AA30" s="486"/>
      <c r="AB30" s="486"/>
      <c r="AC30" s="486"/>
      <c r="AD30" s="486"/>
      <c r="AE30" s="486"/>
      <c r="AF30" s="486"/>
      <c r="AG30" s="486"/>
      <c r="AH30" s="486"/>
      <c r="AI30" s="486"/>
      <c r="AJ30" s="486"/>
      <c r="AK30" s="486"/>
      <c r="AL30" s="486"/>
      <c r="AM30" s="486"/>
      <c r="AN30" s="486"/>
      <c r="AO30" s="486"/>
      <c r="AP30" s="486"/>
      <c r="AQ30" s="486"/>
      <c r="AR30" s="486"/>
      <c r="AS30" s="486"/>
      <c r="AT30" s="486"/>
      <c r="AU30" s="486"/>
      <c r="AV30" s="486"/>
      <c r="AW30" s="486"/>
      <c r="AX30" s="486"/>
      <c r="AY30" s="486"/>
      <c r="AZ30" s="486"/>
      <c r="BA30" s="486"/>
    </row>
    <row r="31" spans="1:53">
      <c r="A31" s="492" t="s">
        <v>520</v>
      </c>
      <c r="B31" s="156"/>
      <c r="C31" s="494">
        <f>IF(B31&lt;&gt;"",B31,'[3]Comm - Downlink'!D30)</f>
        <v>2.5</v>
      </c>
      <c r="D31" s="494"/>
      <c r="E31" s="495" t="s">
        <v>9</v>
      </c>
      <c r="P31" s="486"/>
      <c r="Q31" s="486"/>
      <c r="R31" s="486"/>
      <c r="S31" s="486"/>
      <c r="T31" s="486"/>
      <c r="U31" s="486"/>
      <c r="V31" s="486"/>
      <c r="W31" s="486"/>
      <c r="X31" s="486"/>
      <c r="Y31" s="486"/>
      <c r="Z31" s="486"/>
      <c r="AA31" s="486"/>
      <c r="AB31" s="486"/>
      <c r="AC31" s="486"/>
      <c r="AD31" s="486"/>
      <c r="AE31" s="486"/>
      <c r="AF31" s="486"/>
      <c r="AG31" s="486"/>
      <c r="AH31" s="486"/>
      <c r="AI31" s="486"/>
      <c r="AJ31" s="486"/>
      <c r="AK31" s="486"/>
      <c r="AL31" s="486"/>
      <c r="AM31" s="486"/>
      <c r="AN31" s="486"/>
      <c r="AO31" s="486"/>
      <c r="AP31" s="486"/>
      <c r="AQ31" s="486"/>
      <c r="AR31" s="486"/>
      <c r="AS31" s="486"/>
      <c r="AT31" s="486"/>
      <c r="AU31" s="486"/>
      <c r="AV31" s="486"/>
      <c r="AW31" s="486"/>
      <c r="AX31" s="486"/>
      <c r="AY31" s="486"/>
      <c r="AZ31" s="486"/>
      <c r="BA31" s="486"/>
    </row>
    <row r="32" spans="1:53">
      <c r="A32" s="492" t="s">
        <v>483</v>
      </c>
      <c r="B32" s="493"/>
      <c r="C32" s="512">
        <f>Speed_of_Light/(C31*1000000000)</f>
        <v>0.11991698319999999</v>
      </c>
      <c r="D32" s="512"/>
      <c r="E32" s="495" t="s">
        <v>14</v>
      </c>
      <c r="P32" s="486"/>
      <c r="Q32" s="486"/>
      <c r="R32" s="486"/>
      <c r="S32" s="486"/>
      <c r="T32" s="486"/>
      <c r="U32" s="486"/>
      <c r="V32" s="486"/>
      <c r="W32" s="486"/>
      <c r="X32" s="486"/>
      <c r="Y32" s="486"/>
      <c r="Z32" s="486"/>
      <c r="AA32" s="486"/>
      <c r="AB32" s="486"/>
      <c r="AC32" s="486"/>
      <c r="AD32" s="486"/>
      <c r="AE32" s="486"/>
      <c r="AF32" s="486"/>
      <c r="AG32" s="486"/>
      <c r="AH32" s="486"/>
      <c r="AI32" s="486"/>
      <c r="AJ32" s="486"/>
      <c r="AK32" s="486"/>
      <c r="AL32" s="486"/>
      <c r="AM32" s="486"/>
      <c r="AN32" s="486"/>
      <c r="AO32" s="486"/>
      <c r="AP32" s="486"/>
      <c r="AQ32" s="486"/>
      <c r="AR32" s="486"/>
      <c r="AS32" s="486"/>
      <c r="AT32" s="486"/>
      <c r="AU32" s="486"/>
      <c r="AV32" s="486"/>
      <c r="AW32" s="486"/>
      <c r="AX32" s="486"/>
      <c r="AY32" s="486"/>
      <c r="AZ32" s="486"/>
      <c r="BA32" s="486"/>
    </row>
    <row r="33" spans="1:53">
      <c r="A33" s="492" t="s">
        <v>521</v>
      </c>
      <c r="B33" s="156">
        <v>0.15</v>
      </c>
      <c r="C33" s="512">
        <f>IF(B33&lt;&gt;"",B33,Speed_of_Light/2/(C31*1000000000)*((1+C29)/2)^-0.5)</f>
        <v>0.15</v>
      </c>
      <c r="D33" s="512"/>
      <c r="E33" s="495" t="s">
        <v>14</v>
      </c>
      <c r="P33" s="486"/>
      <c r="Q33" s="486"/>
      <c r="R33" s="486"/>
      <c r="S33" s="486"/>
      <c r="T33" s="486"/>
      <c r="U33" s="486"/>
      <c r="V33" s="486"/>
      <c r="W33" s="486"/>
      <c r="X33" s="486"/>
      <c r="Y33" s="486"/>
      <c r="Z33" s="486"/>
      <c r="AA33" s="486"/>
      <c r="AB33" s="486"/>
      <c r="AC33" s="486"/>
      <c r="AD33" s="486"/>
      <c r="AE33" s="486"/>
      <c r="AF33" s="486"/>
      <c r="AG33" s="486"/>
      <c r="AH33" s="486"/>
      <c r="AI33" s="486"/>
      <c r="AJ33" s="486"/>
      <c r="AK33" s="486"/>
      <c r="AL33" s="486"/>
      <c r="AM33" s="486"/>
      <c r="AN33" s="486"/>
      <c r="AO33" s="486"/>
      <c r="AP33" s="486"/>
      <c r="AQ33" s="486"/>
      <c r="AR33" s="486"/>
      <c r="AS33" s="486"/>
      <c r="AT33" s="486"/>
      <c r="AU33" s="486"/>
      <c r="AV33" s="486"/>
      <c r="AW33" s="486"/>
      <c r="AX33" s="486"/>
      <c r="AY33" s="486"/>
      <c r="AZ33" s="486"/>
      <c r="BA33" s="486"/>
    </row>
    <row r="34" spans="1:53" ht="18.3">
      <c r="A34" s="492" t="s">
        <v>522</v>
      </c>
      <c r="B34" s="493"/>
      <c r="C34" s="499">
        <f>(C29+1)/2+(C29-1)/2*(1+12*C30/C33)^-0.5</f>
        <v>2.1773502691896258</v>
      </c>
      <c r="D34" s="499"/>
      <c r="E34" s="495"/>
      <c r="P34" s="486"/>
      <c r="Q34" s="486"/>
      <c r="R34" s="486"/>
      <c r="S34" s="486"/>
      <c r="T34" s="486"/>
      <c r="U34" s="486"/>
      <c r="V34" s="486"/>
      <c r="W34" s="486"/>
      <c r="X34" s="486"/>
      <c r="Y34" s="486"/>
      <c r="Z34" s="486"/>
      <c r="AA34" s="486"/>
      <c r="AB34" s="486"/>
      <c r="AC34" s="486"/>
      <c r="AD34" s="486"/>
      <c r="AE34" s="486"/>
      <c r="AF34" s="486"/>
      <c r="AG34" s="486"/>
      <c r="AH34" s="486"/>
      <c r="AI34" s="486"/>
      <c r="AJ34" s="486"/>
      <c r="AK34" s="486"/>
      <c r="AL34" s="486"/>
      <c r="AM34" s="486"/>
      <c r="AN34" s="486"/>
      <c r="AO34" s="486"/>
      <c r="AP34" s="486"/>
      <c r="AQ34" s="486"/>
      <c r="AR34" s="486"/>
      <c r="AS34" s="486"/>
      <c r="AT34" s="486"/>
      <c r="AU34" s="486"/>
      <c r="AV34" s="486"/>
      <c r="AW34" s="486"/>
      <c r="AX34" s="486"/>
      <c r="AY34" s="486"/>
      <c r="AZ34" s="486"/>
      <c r="BA34" s="486"/>
    </row>
    <row r="35" spans="1:53">
      <c r="A35" s="492" t="s">
        <v>523</v>
      </c>
      <c r="B35" s="493"/>
      <c r="C35" s="513">
        <f>0.412*C30*((C34+0.3)/(C34-0.258)*((C33/C30+0.264)/(C33/C30+0.8)))</f>
        <v>5.2988789363385294E-4</v>
      </c>
      <c r="D35" s="513"/>
      <c r="E35" s="495" t="s">
        <v>14</v>
      </c>
      <c r="P35" s="486"/>
      <c r="Q35" s="486"/>
      <c r="R35" s="486"/>
      <c r="S35" s="486"/>
      <c r="T35" s="486"/>
      <c r="U35" s="486"/>
      <c r="V35" s="486"/>
      <c r="W35" s="486"/>
      <c r="X35" s="486"/>
      <c r="Y35" s="486"/>
      <c r="Z35" s="486"/>
      <c r="AA35" s="486"/>
      <c r="AB35" s="486"/>
      <c r="AC35" s="486"/>
      <c r="AD35" s="486"/>
      <c r="AE35" s="486"/>
      <c r="AF35" s="486"/>
      <c r="AG35" s="486"/>
      <c r="AH35" s="486"/>
      <c r="AI35" s="486"/>
      <c r="AJ35" s="486"/>
      <c r="AK35" s="486"/>
      <c r="AL35" s="486"/>
      <c r="AM35" s="486"/>
      <c r="AN35" s="486"/>
      <c r="AO35" s="486"/>
      <c r="AP35" s="486"/>
      <c r="AQ35" s="486"/>
      <c r="AR35" s="486"/>
      <c r="AS35" s="486"/>
      <c r="AT35" s="486"/>
      <c r="AU35" s="486"/>
      <c r="AV35" s="486"/>
      <c r="AW35" s="486"/>
      <c r="AX35" s="486"/>
      <c r="AY35" s="486"/>
      <c r="AZ35" s="486"/>
      <c r="BA35" s="486"/>
    </row>
    <row r="36" spans="1:53">
      <c r="A36" s="492" t="s">
        <v>524</v>
      </c>
      <c r="B36" s="156">
        <v>0.1</v>
      </c>
      <c r="C36" s="498">
        <f>IF(B36&lt;&gt;"",B36,Speed_of_Light/(2*C31*1000000000*SQRT(C34))-2*C35)</f>
        <v>0.1</v>
      </c>
      <c r="D36" s="498"/>
      <c r="E36" s="495" t="s">
        <v>14</v>
      </c>
      <c r="P36" s="486"/>
      <c r="Q36" s="486"/>
      <c r="R36" s="486"/>
      <c r="S36" s="486"/>
      <c r="T36" s="486"/>
      <c r="U36" s="486"/>
      <c r="V36" s="486"/>
      <c r="W36" s="486"/>
      <c r="X36" s="486"/>
      <c r="Y36" s="486"/>
      <c r="Z36" s="486"/>
      <c r="AA36" s="486"/>
      <c r="AB36" s="486"/>
      <c r="AC36" s="486"/>
      <c r="AD36" s="486"/>
      <c r="AE36" s="486"/>
      <c r="AF36" s="486"/>
      <c r="AG36" s="486"/>
      <c r="AH36" s="486"/>
      <c r="AI36" s="486"/>
      <c r="AJ36" s="486"/>
      <c r="AK36" s="486"/>
      <c r="AL36" s="486"/>
      <c r="AM36" s="486"/>
      <c r="AN36" s="486"/>
      <c r="AO36" s="486"/>
      <c r="AP36" s="486"/>
      <c r="AQ36" s="486"/>
      <c r="AR36" s="486"/>
      <c r="AS36" s="486"/>
      <c r="AT36" s="486"/>
      <c r="AU36" s="486"/>
      <c r="AV36" s="486"/>
      <c r="AW36" s="486"/>
      <c r="AX36" s="486"/>
      <c r="AY36" s="486"/>
      <c r="AZ36" s="486"/>
      <c r="BA36" s="486"/>
    </row>
    <row r="37" spans="1:53">
      <c r="A37" s="492" t="s">
        <v>525</v>
      </c>
      <c r="B37" s="493"/>
      <c r="C37" s="513">
        <f>C33^2/C32^2/45</f>
        <v>3.477031425167558E-2</v>
      </c>
      <c r="D37" s="513"/>
      <c r="E37" s="495" t="s">
        <v>14</v>
      </c>
      <c r="P37" s="486"/>
      <c r="Q37" s="486"/>
      <c r="R37" s="486"/>
      <c r="S37" s="486"/>
      <c r="T37" s="486"/>
      <c r="U37" s="486"/>
      <c r="V37" s="486"/>
      <c r="W37" s="486"/>
      <c r="X37" s="486"/>
      <c r="Y37" s="486"/>
      <c r="Z37" s="486"/>
      <c r="AA37" s="486"/>
      <c r="AB37" s="486"/>
      <c r="AC37" s="486"/>
      <c r="AD37" s="486"/>
      <c r="AE37" s="486"/>
      <c r="AF37" s="486"/>
      <c r="AG37" s="486"/>
      <c r="AH37" s="486"/>
      <c r="AI37" s="486"/>
      <c r="AJ37" s="486"/>
      <c r="AK37" s="486"/>
      <c r="AL37" s="486"/>
      <c r="AM37" s="486"/>
      <c r="AN37" s="486"/>
      <c r="AO37" s="486"/>
      <c r="AP37" s="486"/>
      <c r="AQ37" s="486"/>
      <c r="AR37" s="486"/>
      <c r="AS37" s="486"/>
      <c r="AT37" s="486"/>
      <c r="AU37" s="486"/>
      <c r="AV37" s="486"/>
      <c r="AW37" s="486"/>
      <c r="AX37" s="486"/>
      <c r="AY37" s="486"/>
      <c r="AZ37" s="486"/>
      <c r="BA37" s="486"/>
    </row>
    <row r="38" spans="1:53" ht="13" customHeight="1" thickBot="1">
      <c r="A38" s="492" t="s">
        <v>526</v>
      </c>
      <c r="B38" s="493"/>
      <c r="C38" s="507">
        <f>1/C37</f>
        <v>28.760165719578161</v>
      </c>
      <c r="D38" s="499"/>
      <c r="E38" s="495" t="s">
        <v>527</v>
      </c>
      <c r="P38" s="486"/>
      <c r="Q38" s="486"/>
      <c r="R38" s="486"/>
      <c r="S38" s="486"/>
      <c r="T38" s="486"/>
      <c r="U38" s="486"/>
      <c r="V38" s="486"/>
      <c r="W38" s="486"/>
      <c r="X38" s="486"/>
      <c r="Y38" s="486"/>
      <c r="Z38" s="486"/>
      <c r="AA38" s="486"/>
      <c r="AB38" s="486"/>
      <c r="AC38" s="486"/>
      <c r="AD38" s="486"/>
      <c r="AE38" s="486"/>
      <c r="AF38" s="486"/>
      <c r="AG38" s="486"/>
      <c r="AH38" s="486"/>
      <c r="AI38" s="486"/>
      <c r="AJ38" s="486"/>
      <c r="AK38" s="486"/>
      <c r="AL38" s="486"/>
      <c r="AM38" s="486"/>
      <c r="AN38" s="486"/>
      <c r="AO38" s="486"/>
      <c r="AP38" s="486"/>
      <c r="AQ38" s="486"/>
      <c r="AR38" s="486"/>
      <c r="AS38" s="486"/>
      <c r="AT38" s="486"/>
      <c r="AU38" s="486"/>
      <c r="AV38" s="486"/>
      <c r="AW38" s="486"/>
      <c r="AX38" s="486"/>
      <c r="AY38" s="486"/>
      <c r="AZ38" s="486"/>
      <c r="BA38" s="486"/>
    </row>
    <row r="39" spans="1:53" ht="14.1" thickTop="1">
      <c r="A39" s="597" t="s">
        <v>528</v>
      </c>
      <c r="B39" s="561"/>
      <c r="C39" s="561"/>
      <c r="D39" s="561"/>
      <c r="E39" s="562"/>
      <c r="P39" s="486"/>
      <c r="Q39" s="486"/>
      <c r="R39" s="486"/>
      <c r="S39" s="486"/>
      <c r="T39" s="486"/>
      <c r="U39" s="486"/>
      <c r="V39" s="486"/>
      <c r="W39" s="486">
        <f>$W$40/$K$11</f>
        <v>1.047922510975841</v>
      </c>
      <c r="X39" s="486"/>
      <c r="Y39" s="486"/>
      <c r="Z39" s="486"/>
      <c r="AA39" s="486"/>
      <c r="AB39" s="486"/>
      <c r="AC39" s="486"/>
      <c r="AD39" s="486"/>
      <c r="AE39" s="486"/>
      <c r="AF39" s="486"/>
      <c r="AG39" s="486"/>
      <c r="AH39" s="486"/>
      <c r="AI39" s="486"/>
      <c r="AJ39" s="486"/>
      <c r="AK39" s="486"/>
      <c r="AL39" s="486"/>
      <c r="AM39" s="486"/>
      <c r="AN39" s="486"/>
      <c r="AO39" s="486"/>
      <c r="AP39" s="486"/>
      <c r="AQ39" s="486"/>
      <c r="AR39" s="486"/>
      <c r="AS39" s="486"/>
      <c r="AT39" s="486"/>
      <c r="AU39" s="486"/>
      <c r="AV39" s="486"/>
      <c r="AW39" s="486"/>
      <c r="AX39" s="486"/>
      <c r="AY39" s="486"/>
      <c r="AZ39" s="486"/>
      <c r="BA39" s="486"/>
    </row>
    <row r="40" spans="1:53">
      <c r="A40" s="492" t="s">
        <v>529</v>
      </c>
      <c r="B40" s="156"/>
      <c r="C40" s="512">
        <f>C33</f>
        <v>0.15</v>
      </c>
      <c r="D40" s="512"/>
      <c r="E40" s="495" t="s">
        <v>14</v>
      </c>
      <c r="P40" s="486"/>
      <c r="Q40" s="486"/>
      <c r="R40" s="486"/>
      <c r="S40" s="486"/>
      <c r="T40" s="486"/>
      <c r="U40" s="486"/>
      <c r="V40" s="486"/>
      <c r="W40" s="486">
        <f>PI()*$K$12</f>
        <v>0.62831853071795862</v>
      </c>
      <c r="X40" s="486"/>
      <c r="Y40" s="486"/>
      <c r="Z40" s="486"/>
      <c r="AA40" s="486"/>
      <c r="AB40" s="486"/>
      <c r="AC40" s="486"/>
      <c r="AD40" s="486"/>
      <c r="AE40" s="486"/>
      <c r="AF40" s="486"/>
      <c r="AG40" s="486"/>
      <c r="AH40" s="486"/>
      <c r="AI40" s="486"/>
      <c r="AJ40" s="486"/>
      <c r="AK40" s="486"/>
      <c r="AL40" s="486"/>
      <c r="AM40" s="486"/>
      <c r="AN40" s="486"/>
      <c r="AO40" s="486"/>
      <c r="AP40" s="486"/>
      <c r="AQ40" s="486"/>
      <c r="AR40" s="486"/>
      <c r="AS40" s="486"/>
      <c r="AT40" s="486"/>
      <c r="AU40" s="486"/>
      <c r="AV40" s="486"/>
      <c r="AW40" s="486"/>
      <c r="AX40" s="486"/>
      <c r="AY40" s="486"/>
      <c r="AZ40" s="486"/>
      <c r="BA40" s="486"/>
    </row>
    <row r="41" spans="1:53">
      <c r="A41" s="492" t="s">
        <v>530</v>
      </c>
      <c r="B41" s="156"/>
      <c r="C41" s="498">
        <f>C36</f>
        <v>0.1</v>
      </c>
      <c r="D41" s="498"/>
      <c r="E41" s="495" t="s">
        <v>14</v>
      </c>
      <c r="P41" s="486"/>
      <c r="Q41" s="486"/>
      <c r="R41" s="486"/>
      <c r="S41" s="486"/>
      <c r="T41" s="486"/>
      <c r="U41" s="486"/>
      <c r="V41" s="486"/>
      <c r="W41" s="486"/>
      <c r="X41" s="486"/>
      <c r="Y41" s="486"/>
      <c r="Z41" s="486"/>
      <c r="AA41" s="486"/>
      <c r="AB41" s="486"/>
      <c r="AC41" s="486"/>
      <c r="AD41" s="486"/>
      <c r="AE41" s="486"/>
      <c r="AF41" s="486"/>
      <c r="AG41" s="486"/>
      <c r="AH41" s="486"/>
      <c r="AI41" s="486"/>
      <c r="AJ41" s="486"/>
      <c r="AK41" s="486"/>
      <c r="AL41" s="486"/>
      <c r="AM41" s="486"/>
      <c r="AN41" s="486"/>
      <c r="AO41" s="486"/>
      <c r="AP41" s="486"/>
      <c r="AQ41" s="486"/>
      <c r="AR41" s="486"/>
      <c r="AS41" s="486"/>
      <c r="AT41" s="486"/>
      <c r="AU41" s="486"/>
      <c r="AV41" s="486"/>
      <c r="AW41" s="486"/>
      <c r="AX41" s="486"/>
      <c r="AY41" s="486"/>
      <c r="AZ41" s="486"/>
      <c r="BA41" s="486"/>
    </row>
    <row r="42" spans="1:53">
      <c r="A42" s="492" t="s">
        <v>489</v>
      </c>
      <c r="B42" s="493"/>
      <c r="C42" s="494">
        <f>C41*C40</f>
        <v>1.4999999999999999E-2</v>
      </c>
      <c r="D42" s="494"/>
      <c r="E42" s="495" t="s">
        <v>14</v>
      </c>
      <c r="P42" s="486"/>
      <c r="Q42" s="486"/>
      <c r="R42" s="486"/>
      <c r="S42" s="486"/>
      <c r="T42" s="486"/>
      <c r="U42" s="486"/>
      <c r="V42" s="486"/>
      <c r="W42" s="486"/>
      <c r="X42" s="486"/>
      <c r="Y42" s="486"/>
      <c r="Z42" s="486"/>
      <c r="AA42" s="486"/>
      <c r="AB42" s="486"/>
      <c r="AC42" s="486"/>
      <c r="AD42" s="486"/>
      <c r="AE42" s="486"/>
      <c r="AF42" s="486"/>
      <c r="AG42" s="486"/>
      <c r="AH42" s="486"/>
      <c r="AI42" s="486"/>
      <c r="AJ42" s="486"/>
      <c r="AK42" s="486"/>
      <c r="AL42" s="486"/>
      <c r="AM42" s="486"/>
      <c r="AN42" s="486"/>
      <c r="AO42" s="486"/>
      <c r="AP42" s="486"/>
      <c r="AQ42" s="486"/>
      <c r="AR42" s="486"/>
      <c r="AS42" s="486"/>
      <c r="AT42" s="486"/>
      <c r="AU42" s="486"/>
      <c r="AV42" s="486"/>
      <c r="AW42" s="486"/>
      <c r="AX42" s="486"/>
      <c r="AY42" s="486"/>
      <c r="AZ42" s="486"/>
      <c r="BA42" s="486"/>
    </row>
    <row r="43" spans="1:53">
      <c r="A43" s="492" t="s">
        <v>531</v>
      </c>
      <c r="B43" s="493"/>
      <c r="C43" s="499">
        <f>((4*PI())/C32^2)*C42</f>
        <v>13.108099657928697</v>
      </c>
      <c r="D43" s="499"/>
      <c r="E43" s="495" t="s">
        <v>515</v>
      </c>
      <c r="P43" s="486"/>
      <c r="Q43" s="486"/>
      <c r="R43" s="486"/>
      <c r="S43" s="486"/>
      <c r="T43" s="486"/>
      <c r="U43" s="486"/>
      <c r="V43" s="486"/>
      <c r="W43" s="486"/>
      <c r="X43" s="486"/>
      <c r="Y43" s="486"/>
      <c r="Z43" s="486"/>
      <c r="AA43" s="486"/>
      <c r="AB43" s="486"/>
      <c r="AC43" s="486"/>
      <c r="AD43" s="486"/>
      <c r="AE43" s="486"/>
      <c r="AF43" s="486"/>
      <c r="AG43" s="486"/>
      <c r="AH43" s="486"/>
      <c r="AI43" s="486"/>
      <c r="AJ43" s="486"/>
      <c r="AK43" s="486"/>
      <c r="AL43" s="486"/>
      <c r="AM43" s="486"/>
      <c r="AN43" s="486"/>
      <c r="AO43" s="486"/>
      <c r="AP43" s="486"/>
      <c r="AQ43" s="486"/>
      <c r="AR43" s="486"/>
      <c r="AS43" s="486"/>
      <c r="AT43" s="486"/>
      <c r="AU43" s="486"/>
      <c r="AV43" s="486"/>
      <c r="AW43" s="486"/>
      <c r="AX43" s="486"/>
      <c r="AY43" s="486"/>
      <c r="AZ43" s="486"/>
      <c r="BA43" s="486"/>
    </row>
    <row r="44" spans="1:53" ht="12.9" thickBot="1">
      <c r="A44" s="500" t="s">
        <v>532</v>
      </c>
      <c r="B44" s="501"/>
      <c r="C44" s="507">
        <f>(C32^2/(C40*C41))*(180/PI())</f>
        <v>54.927870460955305</v>
      </c>
      <c r="D44" s="507"/>
      <c r="E44" s="503" t="s">
        <v>25</v>
      </c>
      <c r="P44" s="486"/>
      <c r="Q44" s="486"/>
      <c r="R44" s="486"/>
      <c r="S44" s="486"/>
      <c r="T44" s="486"/>
      <c r="U44" s="486"/>
      <c r="V44" s="486"/>
      <c r="W44" s="486"/>
      <c r="X44" s="486"/>
      <c r="Y44" s="486"/>
      <c r="Z44" s="486"/>
      <c r="AA44" s="486"/>
      <c r="AB44" s="486"/>
      <c r="AC44" s="486"/>
      <c r="AD44" s="486"/>
      <c r="AE44" s="486"/>
      <c r="AF44" s="486"/>
      <c r="AG44" s="486"/>
      <c r="AH44" s="486"/>
      <c r="AI44" s="486"/>
      <c r="AJ44" s="486"/>
      <c r="AK44" s="486"/>
      <c r="AL44" s="486"/>
      <c r="AM44" s="486"/>
      <c r="AN44" s="486"/>
      <c r="AO44" s="486"/>
      <c r="AP44" s="486"/>
      <c r="AQ44" s="486"/>
      <c r="AR44" s="486"/>
      <c r="AS44" s="486"/>
      <c r="AT44" s="486"/>
      <c r="AU44" s="486"/>
      <c r="AV44" s="486"/>
      <c r="AW44" s="486"/>
      <c r="AX44" s="486"/>
      <c r="AY44" s="486"/>
      <c r="AZ44" s="486"/>
      <c r="BA44" s="486"/>
    </row>
    <row r="45" spans="1:53" ht="12.9" thickTop="1">
      <c r="P45" s="486"/>
      <c r="Q45" s="486"/>
      <c r="R45" s="486"/>
      <c r="S45" s="486"/>
      <c r="T45" s="486"/>
      <c r="U45" s="486"/>
      <c r="V45" s="486"/>
      <c r="W45" s="486"/>
      <c r="X45" s="486"/>
      <c r="Y45" s="486"/>
      <c r="Z45" s="486"/>
      <c r="AA45" s="486"/>
      <c r="AB45" s="486"/>
      <c r="AC45" s="486"/>
      <c r="AD45" s="486"/>
      <c r="AE45" s="486"/>
      <c r="AF45" s="486"/>
      <c r="AG45" s="486"/>
      <c r="AH45" s="486"/>
      <c r="AI45" s="486"/>
      <c r="AJ45" s="486"/>
      <c r="AK45" s="486"/>
      <c r="AL45" s="486"/>
      <c r="AM45" s="486"/>
      <c r="AN45" s="486"/>
      <c r="AO45" s="486"/>
      <c r="AP45" s="486"/>
      <c r="AQ45" s="486"/>
      <c r="AR45" s="486"/>
      <c r="AS45" s="486"/>
      <c r="AT45" s="486"/>
      <c r="AU45" s="486"/>
      <c r="AV45" s="486"/>
      <c r="AW45" s="486"/>
      <c r="AX45" s="486"/>
      <c r="AY45" s="486"/>
      <c r="AZ45" s="486"/>
      <c r="BA45" s="486"/>
    </row>
    <row r="46" spans="1:53">
      <c r="G46" s="514"/>
      <c r="P46" s="486"/>
      <c r="Q46" s="486"/>
      <c r="R46" s="486"/>
      <c r="S46" s="486"/>
      <c r="T46" s="486"/>
      <c r="U46" s="486"/>
      <c r="V46" s="486"/>
      <c r="W46" s="486"/>
      <c r="X46" s="486"/>
      <c r="Y46" s="486"/>
      <c r="Z46" s="486"/>
      <c r="AA46" s="486"/>
      <c r="AB46" s="486"/>
      <c r="AC46" s="486"/>
      <c r="AD46" s="486"/>
      <c r="AE46" s="486"/>
      <c r="AF46" s="486"/>
      <c r="AG46" s="486"/>
      <c r="AH46" s="486"/>
      <c r="AI46" s="486"/>
      <c r="AJ46" s="486"/>
      <c r="AK46" s="486"/>
      <c r="AL46" s="486"/>
      <c r="AM46" s="486"/>
      <c r="AN46" s="486"/>
      <c r="AO46" s="486"/>
      <c r="AP46" s="486"/>
      <c r="AQ46" s="486"/>
      <c r="AR46" s="486"/>
      <c r="AS46" s="486"/>
      <c r="AT46" s="486"/>
      <c r="AU46" s="486"/>
      <c r="AV46" s="486"/>
      <c r="AW46" s="486"/>
      <c r="AX46" s="486"/>
      <c r="AY46" s="486"/>
      <c r="AZ46" s="486"/>
      <c r="BA46" s="486"/>
    </row>
    <row r="47" spans="1:53">
      <c r="G47" s="515"/>
      <c r="P47" s="486"/>
      <c r="Q47" s="486"/>
      <c r="R47" s="486"/>
      <c r="S47" s="486"/>
      <c r="T47" s="486"/>
      <c r="U47" s="486"/>
      <c r="V47" s="486"/>
      <c r="W47" s="486"/>
      <c r="X47" s="486"/>
      <c r="Y47" s="486"/>
      <c r="Z47" s="486"/>
      <c r="AA47" s="486"/>
      <c r="AB47" s="486"/>
      <c r="AC47" s="486"/>
      <c r="AD47" s="486"/>
      <c r="AE47" s="486"/>
      <c r="AF47" s="486"/>
      <c r="AG47" s="486"/>
      <c r="AH47" s="486"/>
      <c r="AI47" s="486"/>
      <c r="AJ47" s="486"/>
      <c r="AK47" s="486"/>
      <c r="AL47" s="486"/>
      <c r="AM47" s="486"/>
      <c r="AN47" s="486"/>
      <c r="AO47" s="486"/>
      <c r="AP47" s="486"/>
      <c r="AQ47" s="486"/>
      <c r="AR47" s="486"/>
      <c r="AS47" s="486"/>
      <c r="AT47" s="486"/>
      <c r="AU47" s="486"/>
      <c r="AV47" s="486"/>
      <c r="AW47" s="486"/>
      <c r="AX47" s="486"/>
      <c r="AY47" s="486"/>
      <c r="AZ47" s="486"/>
      <c r="BA47" s="486"/>
    </row>
    <row r="48" spans="1:53">
      <c r="G48" s="516"/>
      <c r="H48" s="514"/>
      <c r="P48" s="486"/>
      <c r="Q48" s="486"/>
      <c r="R48" s="486"/>
      <c r="S48" s="486"/>
      <c r="T48" s="486"/>
      <c r="U48" s="486"/>
      <c r="V48" s="486"/>
      <c r="W48" s="486"/>
      <c r="X48" s="486"/>
      <c r="Y48" s="486"/>
      <c r="Z48" s="486"/>
      <c r="AA48" s="486"/>
      <c r="AB48" s="486"/>
      <c r="AC48" s="486"/>
      <c r="AD48" s="486"/>
      <c r="AE48" s="486"/>
      <c r="AF48" s="486"/>
      <c r="AG48" s="486"/>
      <c r="AH48" s="486"/>
      <c r="AI48" s="486"/>
      <c r="AJ48" s="486"/>
      <c r="AK48" s="486"/>
      <c r="AL48" s="486"/>
      <c r="AM48" s="486"/>
      <c r="AN48" s="486"/>
      <c r="AO48" s="486"/>
      <c r="AP48" s="486"/>
      <c r="AQ48" s="486"/>
      <c r="AR48" s="486"/>
      <c r="AS48" s="486"/>
      <c r="AT48" s="486"/>
      <c r="AU48" s="486"/>
      <c r="AV48" s="486"/>
      <c r="AW48" s="486"/>
      <c r="AX48" s="486"/>
      <c r="AY48" s="486"/>
      <c r="AZ48" s="486"/>
      <c r="BA48" s="486"/>
    </row>
    <row r="49" spans="6:53">
      <c r="G49" s="516"/>
      <c r="H49" s="514"/>
      <c r="P49" s="486"/>
      <c r="Q49" s="486"/>
      <c r="R49" s="486"/>
      <c r="S49" s="486"/>
      <c r="T49" s="486"/>
      <c r="U49" s="486"/>
      <c r="V49" s="486"/>
      <c r="W49" s="486"/>
      <c r="X49" s="486"/>
      <c r="Y49" s="486"/>
      <c r="Z49" s="486"/>
      <c r="AA49" s="486"/>
      <c r="AB49" s="486"/>
      <c r="AC49" s="486"/>
      <c r="AD49" s="486"/>
      <c r="AE49" s="486"/>
      <c r="AF49" s="486"/>
      <c r="AG49" s="486"/>
      <c r="AH49" s="486"/>
      <c r="AI49" s="486"/>
      <c r="AJ49" s="486"/>
      <c r="AK49" s="486"/>
      <c r="AL49" s="486"/>
      <c r="AM49" s="486"/>
      <c r="AN49" s="486"/>
      <c r="AO49" s="486"/>
      <c r="AP49" s="486"/>
      <c r="AQ49" s="486"/>
      <c r="AR49" s="486"/>
      <c r="AS49" s="486"/>
      <c r="AT49" s="486"/>
      <c r="AU49" s="486"/>
      <c r="AV49" s="486"/>
      <c r="AW49" s="486"/>
      <c r="AX49" s="486"/>
      <c r="AY49" s="486"/>
      <c r="AZ49" s="486"/>
      <c r="BA49" s="486"/>
    </row>
    <row r="50" spans="6:53">
      <c r="G50" s="517"/>
      <c r="P50" s="486"/>
      <c r="Q50" s="486"/>
      <c r="R50" s="486"/>
      <c r="S50" s="486"/>
      <c r="T50" s="486"/>
      <c r="U50" s="486"/>
      <c r="V50" s="486"/>
      <c r="W50" s="486"/>
      <c r="X50" s="486"/>
      <c r="Y50" s="486"/>
      <c r="Z50" s="486"/>
      <c r="AA50" s="486"/>
      <c r="AB50" s="486"/>
      <c r="AC50" s="486"/>
      <c r="AD50" s="486"/>
      <c r="AE50" s="486"/>
      <c r="AF50" s="486"/>
      <c r="AG50" s="486"/>
      <c r="AH50" s="486"/>
      <c r="AI50" s="486"/>
      <c r="AJ50" s="486"/>
      <c r="AK50" s="486"/>
      <c r="AL50" s="486"/>
      <c r="AM50" s="486"/>
      <c r="AN50" s="486"/>
      <c r="AO50" s="486"/>
      <c r="AP50" s="486"/>
      <c r="AQ50" s="486"/>
      <c r="AR50" s="486"/>
      <c r="AS50" s="486"/>
      <c r="AT50" s="486"/>
      <c r="AU50" s="486"/>
      <c r="AV50" s="486"/>
      <c r="AW50" s="486"/>
      <c r="AX50" s="486"/>
      <c r="AY50" s="486"/>
      <c r="AZ50" s="486"/>
      <c r="BA50" s="486"/>
    </row>
    <row r="51" spans="6:53">
      <c r="G51" s="516"/>
      <c r="P51" s="486"/>
      <c r="Q51" s="486"/>
      <c r="R51" s="486"/>
      <c r="S51" s="486"/>
      <c r="T51" s="486"/>
      <c r="U51" s="486"/>
      <c r="V51" s="486"/>
      <c r="W51" s="486"/>
      <c r="X51" s="486"/>
      <c r="Y51" s="486"/>
      <c r="Z51" s="486"/>
      <c r="AA51" s="486"/>
      <c r="AB51" s="486"/>
      <c r="AC51" s="486"/>
      <c r="AD51" s="486"/>
      <c r="AE51" s="486"/>
      <c r="AF51" s="486"/>
      <c r="AG51" s="486"/>
      <c r="AH51" s="486"/>
      <c r="AI51" s="486"/>
      <c r="AJ51" s="486"/>
      <c r="AK51" s="486"/>
      <c r="AL51" s="486"/>
      <c r="AM51" s="486"/>
      <c r="AN51" s="486"/>
      <c r="AO51" s="486"/>
      <c r="AP51" s="486"/>
      <c r="AQ51" s="486"/>
      <c r="AR51" s="486"/>
      <c r="AS51" s="486"/>
      <c r="AT51" s="486"/>
      <c r="AU51" s="486"/>
      <c r="AV51" s="486"/>
      <c r="AW51" s="486"/>
      <c r="AX51" s="486"/>
      <c r="AY51" s="486"/>
      <c r="AZ51" s="486"/>
      <c r="BA51" s="486"/>
    </row>
    <row r="52" spans="6:53">
      <c r="G52" s="516"/>
      <c r="P52" s="486"/>
      <c r="Q52" s="486"/>
      <c r="R52" s="486"/>
      <c r="S52" s="486"/>
      <c r="T52" s="486"/>
      <c r="U52" s="486"/>
      <c r="V52" s="486"/>
      <c r="W52" s="486"/>
      <c r="X52" s="486"/>
      <c r="Y52" s="486"/>
      <c r="Z52" s="486"/>
      <c r="AA52" s="486"/>
      <c r="AB52" s="486"/>
      <c r="AC52" s="486"/>
      <c r="AD52" s="486"/>
      <c r="AE52" s="486"/>
      <c r="AF52" s="486"/>
      <c r="AG52" s="486"/>
      <c r="AH52" s="486"/>
      <c r="AI52" s="486"/>
      <c r="AJ52" s="486"/>
      <c r="AK52" s="486"/>
      <c r="AL52" s="486"/>
      <c r="AM52" s="486"/>
      <c r="AN52" s="486"/>
      <c r="AO52" s="486"/>
      <c r="AP52" s="486"/>
      <c r="AQ52" s="486"/>
      <c r="AR52" s="486"/>
      <c r="AS52" s="486"/>
      <c r="AT52" s="486"/>
      <c r="AU52" s="486"/>
      <c r="AV52" s="486"/>
      <c r="AW52" s="486"/>
      <c r="AX52" s="486"/>
      <c r="AY52" s="486"/>
      <c r="AZ52" s="486"/>
      <c r="BA52" s="486"/>
    </row>
    <row r="53" spans="6:53">
      <c r="G53" s="516"/>
      <c r="P53" s="486"/>
      <c r="Q53" s="486"/>
      <c r="R53" s="486"/>
      <c r="S53" s="486"/>
      <c r="T53" s="486"/>
      <c r="U53" s="486"/>
      <c r="V53" s="486"/>
      <c r="W53" s="486"/>
      <c r="X53" s="486"/>
      <c r="Y53" s="486"/>
      <c r="Z53" s="486"/>
      <c r="AA53" s="486"/>
      <c r="AB53" s="486"/>
      <c r="AC53" s="486"/>
      <c r="AD53" s="486"/>
      <c r="AE53" s="486"/>
      <c r="AF53" s="486"/>
      <c r="AG53" s="486"/>
      <c r="AH53" s="486"/>
      <c r="AI53" s="486"/>
      <c r="AJ53" s="486"/>
      <c r="AK53" s="486"/>
      <c r="AL53" s="486"/>
      <c r="AM53" s="486"/>
      <c r="AN53" s="486"/>
      <c r="AO53" s="486"/>
      <c r="AP53" s="486"/>
      <c r="AQ53" s="486"/>
      <c r="AR53" s="486"/>
      <c r="AS53" s="486"/>
      <c r="AT53" s="486"/>
      <c r="AU53" s="486"/>
      <c r="AV53" s="486"/>
      <c r="AW53" s="486"/>
      <c r="AX53" s="486"/>
      <c r="AY53" s="486"/>
      <c r="AZ53" s="486"/>
      <c r="BA53" s="486"/>
    </row>
    <row r="54" spans="6:53">
      <c r="F54" s="518"/>
      <c r="G54" s="518"/>
      <c r="P54" s="486"/>
      <c r="Q54" s="486"/>
      <c r="R54" s="486"/>
      <c r="S54" s="486"/>
      <c r="T54" s="486"/>
      <c r="U54" s="486"/>
      <c r="V54" s="486"/>
      <c r="W54" s="486"/>
      <c r="X54" s="486"/>
      <c r="Y54" s="486"/>
      <c r="Z54" s="486"/>
      <c r="AA54" s="486"/>
      <c r="AB54" s="486"/>
      <c r="AC54" s="486"/>
      <c r="AD54" s="486"/>
      <c r="AE54" s="486"/>
      <c r="AF54" s="486"/>
      <c r="AG54" s="486"/>
      <c r="AH54" s="486"/>
      <c r="AI54" s="486"/>
      <c r="AJ54" s="486"/>
      <c r="AK54" s="486"/>
      <c r="AL54" s="486"/>
      <c r="AM54" s="486"/>
      <c r="AN54" s="486"/>
      <c r="AO54" s="486"/>
      <c r="AP54" s="486"/>
      <c r="AQ54" s="486"/>
      <c r="AR54" s="486"/>
      <c r="AS54" s="486"/>
      <c r="AT54" s="486"/>
      <c r="AU54" s="486"/>
      <c r="AV54" s="486"/>
      <c r="AW54" s="486"/>
      <c r="AX54" s="486"/>
      <c r="AY54" s="486"/>
      <c r="AZ54" s="486"/>
      <c r="BA54" s="486"/>
    </row>
    <row r="55" spans="6:53">
      <c r="F55" s="518"/>
      <c r="G55" s="518"/>
      <c r="P55" s="486"/>
      <c r="Q55" s="486"/>
      <c r="R55" s="486"/>
      <c r="S55" s="486"/>
      <c r="T55" s="486"/>
      <c r="U55" s="486"/>
      <c r="V55" s="486"/>
      <c r="W55" s="486"/>
      <c r="X55" s="486"/>
      <c r="Y55" s="486"/>
      <c r="Z55" s="486"/>
      <c r="AA55" s="486"/>
      <c r="AB55" s="486"/>
      <c r="AC55" s="486"/>
      <c r="AD55" s="486"/>
      <c r="AE55" s="486"/>
      <c r="AF55" s="486"/>
      <c r="AG55" s="486"/>
      <c r="AH55" s="486"/>
      <c r="AI55" s="486"/>
      <c r="AJ55" s="486"/>
      <c r="AK55" s="486"/>
      <c r="AL55" s="486"/>
      <c r="AM55" s="486"/>
      <c r="AN55" s="486"/>
      <c r="AO55" s="486"/>
      <c r="AP55" s="486"/>
      <c r="AQ55" s="486"/>
      <c r="AR55" s="486"/>
      <c r="AS55" s="486"/>
      <c r="AT55" s="486"/>
      <c r="AU55" s="486"/>
      <c r="AV55" s="486"/>
      <c r="AW55" s="486"/>
      <c r="AX55" s="486"/>
      <c r="AY55" s="486"/>
      <c r="AZ55" s="486"/>
      <c r="BA55" s="486"/>
    </row>
    <row r="56" spans="6:53">
      <c r="F56" s="518"/>
      <c r="G56" s="518"/>
      <c r="P56" s="486"/>
      <c r="Q56" s="486"/>
      <c r="R56" s="486"/>
      <c r="S56" s="486"/>
      <c r="T56" s="486"/>
      <c r="U56" s="486"/>
      <c r="V56" s="486"/>
      <c r="W56" s="486"/>
      <c r="X56" s="486"/>
      <c r="Y56" s="486"/>
      <c r="Z56" s="486"/>
      <c r="AA56" s="486"/>
      <c r="AB56" s="486"/>
      <c r="AC56" s="486"/>
      <c r="AD56" s="486"/>
      <c r="AE56" s="486"/>
      <c r="AF56" s="486"/>
      <c r="AG56" s="486"/>
      <c r="AH56" s="486"/>
      <c r="AI56" s="486"/>
      <c r="AJ56" s="486"/>
      <c r="AK56" s="486"/>
      <c r="AL56" s="486"/>
      <c r="AM56" s="486"/>
      <c r="AN56" s="486"/>
      <c r="AO56" s="486"/>
      <c r="AP56" s="486"/>
      <c r="AQ56" s="486"/>
      <c r="AR56" s="486"/>
      <c r="AS56" s="486"/>
      <c r="AT56" s="486"/>
      <c r="AU56" s="486"/>
      <c r="AV56" s="486"/>
      <c r="AW56" s="486"/>
      <c r="AX56" s="486"/>
      <c r="AY56" s="486"/>
      <c r="AZ56" s="486"/>
      <c r="BA56" s="486"/>
    </row>
    <row r="57" spans="6:53">
      <c r="F57" s="518"/>
      <c r="G57" s="518"/>
      <c r="P57" s="486"/>
      <c r="Q57" s="486"/>
      <c r="R57" s="486"/>
      <c r="S57" s="486"/>
      <c r="T57" s="486"/>
      <c r="U57" s="486"/>
      <c r="V57" s="486"/>
      <c r="W57" s="486"/>
      <c r="X57" s="486"/>
      <c r="Y57" s="486"/>
      <c r="Z57" s="486"/>
      <c r="AA57" s="486"/>
      <c r="AB57" s="486"/>
      <c r="AC57" s="486"/>
      <c r="AD57" s="486"/>
      <c r="AE57" s="486"/>
      <c r="AF57" s="486"/>
      <c r="AG57" s="486"/>
      <c r="AH57" s="486"/>
      <c r="AI57" s="486"/>
      <c r="AJ57" s="486"/>
      <c r="AK57" s="486"/>
      <c r="AL57" s="486"/>
      <c r="AM57" s="486"/>
      <c r="AN57" s="486"/>
      <c r="AO57" s="486"/>
      <c r="AP57" s="486"/>
      <c r="AQ57" s="486"/>
      <c r="AR57" s="486"/>
      <c r="AS57" s="486"/>
      <c r="AT57" s="486"/>
      <c r="AU57" s="486"/>
      <c r="AV57" s="486"/>
      <c r="AW57" s="486"/>
      <c r="AX57" s="486"/>
      <c r="AY57" s="486"/>
      <c r="AZ57" s="486"/>
      <c r="BA57" s="486"/>
    </row>
    <row r="58" spans="6:53">
      <c r="F58" s="518"/>
      <c r="G58" s="518"/>
      <c r="P58" s="486"/>
      <c r="Q58" s="486"/>
      <c r="R58" s="486"/>
      <c r="S58" s="486"/>
      <c r="T58" s="486"/>
      <c r="U58" s="486"/>
      <c r="V58" s="486"/>
      <c r="W58" s="486"/>
      <c r="X58" s="486"/>
      <c r="Y58" s="486"/>
      <c r="Z58" s="486"/>
      <c r="AA58" s="486"/>
      <c r="AB58" s="486"/>
      <c r="AC58" s="486"/>
      <c r="AD58" s="486"/>
      <c r="AE58" s="486"/>
      <c r="AF58" s="486"/>
      <c r="AG58" s="486"/>
      <c r="AH58" s="486"/>
      <c r="AI58" s="486"/>
      <c r="AJ58" s="486"/>
      <c r="AK58" s="486"/>
      <c r="AL58" s="486"/>
      <c r="AM58" s="486"/>
      <c r="AN58" s="486"/>
      <c r="AO58" s="486"/>
      <c r="AP58" s="486"/>
      <c r="AQ58" s="486"/>
      <c r="AR58" s="486"/>
      <c r="AS58" s="486"/>
      <c r="AT58" s="486"/>
      <c r="AU58" s="486"/>
      <c r="AV58" s="486"/>
      <c r="AW58" s="486"/>
      <c r="AX58" s="486"/>
      <c r="AY58" s="486"/>
      <c r="AZ58" s="486"/>
      <c r="BA58" s="486"/>
    </row>
    <row r="59" spans="6:53">
      <c r="F59" s="518"/>
      <c r="G59" s="518"/>
      <c r="P59" s="486"/>
      <c r="Q59" s="486"/>
      <c r="R59" s="486"/>
      <c r="S59" s="486"/>
      <c r="T59" s="486"/>
      <c r="U59" s="486"/>
      <c r="V59" s="486"/>
      <c r="W59" s="486"/>
      <c r="X59" s="486"/>
      <c r="Y59" s="486"/>
      <c r="Z59" s="486"/>
      <c r="AA59" s="486"/>
      <c r="AB59" s="486"/>
      <c r="AC59" s="486"/>
      <c r="AD59" s="486"/>
      <c r="AE59" s="486"/>
      <c r="AF59" s="486"/>
      <c r="AG59" s="486"/>
      <c r="AH59" s="486"/>
      <c r="AI59" s="486"/>
      <c r="AJ59" s="486"/>
      <c r="AK59" s="486"/>
      <c r="AL59" s="486"/>
      <c r="AM59" s="486"/>
      <c r="AN59" s="486"/>
      <c r="AO59" s="486"/>
      <c r="AP59" s="486"/>
      <c r="AQ59" s="486"/>
      <c r="AR59" s="486"/>
      <c r="AS59" s="486"/>
      <c r="AT59" s="486"/>
      <c r="AU59" s="486"/>
      <c r="AV59" s="486"/>
      <c r="AW59" s="486"/>
      <c r="AX59" s="486"/>
      <c r="AY59" s="486"/>
      <c r="AZ59" s="486"/>
      <c r="BA59" s="486"/>
    </row>
    <row r="60" spans="6:53">
      <c r="F60" s="518"/>
      <c r="G60" s="518"/>
      <c r="P60" s="486"/>
      <c r="Q60" s="486"/>
      <c r="R60" s="486"/>
      <c r="S60" s="486"/>
      <c r="T60" s="486"/>
      <c r="U60" s="486"/>
      <c r="V60" s="486"/>
      <c r="W60" s="486"/>
      <c r="X60" s="486"/>
      <c r="Y60" s="486"/>
      <c r="Z60" s="486"/>
      <c r="AA60" s="486"/>
      <c r="AB60" s="486"/>
      <c r="AC60" s="486"/>
      <c r="AD60" s="486"/>
      <c r="AE60" s="486"/>
      <c r="AF60" s="486"/>
      <c r="AG60" s="486"/>
      <c r="AH60" s="486"/>
      <c r="AI60" s="486"/>
      <c r="AJ60" s="486"/>
      <c r="AK60" s="486"/>
      <c r="AL60" s="486"/>
      <c r="AM60" s="486"/>
      <c r="AN60" s="486"/>
      <c r="AO60" s="486"/>
      <c r="AP60" s="486"/>
      <c r="AQ60" s="486"/>
      <c r="AR60" s="486"/>
      <c r="AS60" s="486"/>
      <c r="AT60" s="486"/>
      <c r="AU60" s="486"/>
      <c r="AV60" s="486"/>
      <c r="AW60" s="486"/>
      <c r="AX60" s="486"/>
      <c r="AY60" s="486"/>
      <c r="AZ60" s="486"/>
      <c r="BA60" s="486"/>
    </row>
    <row r="61" spans="6:53">
      <c r="F61" s="518"/>
      <c r="G61" s="518"/>
      <c r="P61" s="486"/>
      <c r="Q61" s="486"/>
      <c r="R61" s="486"/>
      <c r="S61" s="486"/>
      <c r="T61" s="486"/>
      <c r="U61" s="486"/>
      <c r="V61" s="486"/>
      <c r="W61" s="486"/>
      <c r="X61" s="486"/>
      <c r="Y61" s="486"/>
      <c r="Z61" s="486"/>
      <c r="AA61" s="486"/>
      <c r="AB61" s="486"/>
      <c r="AC61" s="486"/>
      <c r="AD61" s="486"/>
      <c r="AE61" s="486"/>
      <c r="AF61" s="486"/>
      <c r="AG61" s="486"/>
      <c r="AH61" s="486"/>
      <c r="AI61" s="486"/>
      <c r="AJ61" s="486"/>
      <c r="AK61" s="486"/>
      <c r="AL61" s="486"/>
      <c r="AM61" s="486"/>
      <c r="AN61" s="486"/>
      <c r="AO61" s="486"/>
      <c r="AP61" s="486"/>
      <c r="AQ61" s="486"/>
      <c r="AR61" s="486"/>
      <c r="AS61" s="486"/>
      <c r="AT61" s="486"/>
      <c r="AU61" s="486"/>
      <c r="AV61" s="486"/>
      <c r="AW61" s="486"/>
      <c r="AX61" s="486"/>
      <c r="AY61" s="486"/>
      <c r="AZ61" s="486"/>
      <c r="BA61" s="486"/>
    </row>
    <row r="62" spans="6:53">
      <c r="P62" s="486"/>
      <c r="Q62" s="486"/>
      <c r="R62" s="486"/>
      <c r="S62" s="486"/>
      <c r="T62" s="486"/>
      <c r="U62" s="486"/>
      <c r="V62" s="486"/>
      <c r="W62" s="486"/>
      <c r="X62" s="486"/>
      <c r="Y62" s="486"/>
      <c r="Z62" s="486"/>
      <c r="AA62" s="486"/>
      <c r="AB62" s="486"/>
      <c r="AC62" s="486"/>
      <c r="AD62" s="486"/>
      <c r="AE62" s="486"/>
      <c r="AF62" s="486"/>
      <c r="AG62" s="486"/>
      <c r="AH62" s="486"/>
      <c r="AI62" s="486"/>
      <c r="AJ62" s="486"/>
      <c r="AK62" s="486"/>
      <c r="AL62" s="486"/>
      <c r="AM62" s="486"/>
      <c r="AN62" s="486"/>
      <c r="AO62" s="486"/>
      <c r="AP62" s="486"/>
      <c r="AQ62" s="486"/>
      <c r="AR62" s="486"/>
      <c r="AS62" s="486"/>
      <c r="AT62" s="486"/>
      <c r="AU62" s="486"/>
      <c r="AV62" s="486"/>
      <c r="AW62" s="486"/>
      <c r="AX62" s="486"/>
      <c r="AY62" s="486"/>
      <c r="AZ62" s="486"/>
      <c r="BA62" s="486"/>
    </row>
    <row r="63" spans="6:53">
      <c r="P63" s="486"/>
      <c r="Q63" s="486"/>
      <c r="R63" s="486"/>
      <c r="S63" s="486"/>
      <c r="T63" s="486"/>
      <c r="U63" s="486"/>
      <c r="V63" s="486"/>
      <c r="W63" s="486"/>
      <c r="X63" s="486"/>
      <c r="Y63" s="486"/>
      <c r="Z63" s="486"/>
      <c r="AA63" s="486"/>
      <c r="AB63" s="486"/>
      <c r="AC63" s="486"/>
      <c r="AD63" s="486"/>
      <c r="AE63" s="486"/>
      <c r="AF63" s="486"/>
      <c r="AG63" s="486"/>
      <c r="AH63" s="486"/>
      <c r="AI63" s="486"/>
      <c r="AJ63" s="486"/>
      <c r="AK63" s="486"/>
      <c r="AL63" s="486"/>
      <c r="AM63" s="486"/>
      <c r="AN63" s="486"/>
      <c r="AO63" s="486"/>
      <c r="AP63" s="486"/>
      <c r="AQ63" s="486"/>
      <c r="AR63" s="486"/>
      <c r="AS63" s="486"/>
      <c r="AT63" s="486"/>
      <c r="AU63" s="486"/>
      <c r="AV63" s="486"/>
      <c r="AW63" s="486"/>
      <c r="AX63" s="486"/>
      <c r="AY63" s="486"/>
      <c r="AZ63" s="486"/>
      <c r="BA63" s="486"/>
    </row>
    <row r="64" spans="6:53">
      <c r="P64" s="486"/>
      <c r="Q64" s="486"/>
      <c r="R64" s="486"/>
      <c r="S64" s="486"/>
      <c r="T64" s="486"/>
      <c r="U64" s="486"/>
      <c r="V64" s="486"/>
      <c r="W64" s="486"/>
      <c r="X64" s="486"/>
      <c r="Y64" s="486"/>
      <c r="Z64" s="486"/>
      <c r="AA64" s="486"/>
      <c r="AB64" s="486"/>
      <c r="AC64" s="486"/>
      <c r="AD64" s="486"/>
      <c r="AE64" s="486"/>
      <c r="AF64" s="486"/>
      <c r="AG64" s="486"/>
      <c r="AH64" s="486"/>
      <c r="AI64" s="486"/>
      <c r="AJ64" s="486"/>
      <c r="AK64" s="486"/>
      <c r="AL64" s="486"/>
      <c r="AM64" s="486"/>
      <c r="AN64" s="486"/>
      <c r="AO64" s="486"/>
      <c r="AP64" s="486"/>
      <c r="AQ64" s="486"/>
      <c r="AR64" s="486"/>
      <c r="AS64" s="486"/>
      <c r="AT64" s="486"/>
      <c r="AU64" s="486"/>
      <c r="AV64" s="486"/>
      <c r="AW64" s="486"/>
      <c r="AX64" s="486"/>
      <c r="AY64" s="486"/>
      <c r="AZ64" s="486"/>
      <c r="BA64" s="486"/>
    </row>
    <row r="65" spans="1:53">
      <c r="P65" s="486"/>
      <c r="Q65" s="486"/>
      <c r="R65" s="486"/>
      <c r="S65" s="486"/>
      <c r="T65" s="486"/>
      <c r="U65" s="486"/>
      <c r="V65" s="486"/>
      <c r="W65" s="486"/>
      <c r="X65" s="486"/>
      <c r="Y65" s="486"/>
      <c r="Z65" s="486"/>
      <c r="AA65" s="486"/>
      <c r="AB65" s="486"/>
      <c r="AC65" s="486"/>
      <c r="AD65" s="486"/>
      <c r="AE65" s="486"/>
      <c r="AF65" s="486"/>
      <c r="AG65" s="486"/>
      <c r="AH65" s="486"/>
      <c r="AI65" s="486"/>
      <c r="AJ65" s="486"/>
      <c r="AK65" s="486"/>
      <c r="AL65" s="486"/>
      <c r="AM65" s="486"/>
      <c r="AN65" s="486"/>
      <c r="AO65" s="486"/>
      <c r="AP65" s="486"/>
      <c r="AQ65" s="486"/>
      <c r="AR65" s="486"/>
      <c r="AS65" s="486"/>
      <c r="AT65" s="486"/>
      <c r="AU65" s="486"/>
      <c r="AV65" s="486"/>
      <c r="AW65" s="486"/>
      <c r="AX65" s="486"/>
      <c r="AY65" s="486"/>
      <c r="AZ65" s="486"/>
      <c r="BA65" s="486"/>
    </row>
    <row r="66" spans="1:53">
      <c r="P66" s="486"/>
      <c r="Q66" s="486"/>
      <c r="R66" s="486"/>
      <c r="S66" s="486"/>
      <c r="T66" s="486"/>
      <c r="U66" s="486"/>
      <c r="V66" s="486"/>
      <c r="W66" s="486"/>
      <c r="X66" s="486"/>
      <c r="Y66" s="486"/>
      <c r="Z66" s="486"/>
      <c r="AA66" s="486"/>
      <c r="AB66" s="486"/>
      <c r="AC66" s="486"/>
      <c r="AD66" s="486"/>
      <c r="AE66" s="486"/>
      <c r="AF66" s="486"/>
      <c r="AG66" s="486"/>
      <c r="AH66" s="486"/>
      <c r="AI66" s="486"/>
      <c r="AJ66" s="486"/>
      <c r="AK66" s="486"/>
      <c r="AL66" s="486"/>
      <c r="AM66" s="486"/>
      <c r="AN66" s="486"/>
      <c r="AO66" s="486"/>
      <c r="AP66" s="486"/>
      <c r="AQ66" s="486"/>
      <c r="AR66" s="486"/>
      <c r="AS66" s="486"/>
      <c r="AT66" s="486"/>
      <c r="AU66" s="486"/>
      <c r="AV66" s="486"/>
      <c r="AW66" s="486"/>
      <c r="AX66" s="486"/>
      <c r="AY66" s="486"/>
      <c r="AZ66" s="486"/>
      <c r="BA66" s="486"/>
    </row>
    <row r="67" spans="1:53">
      <c r="P67" s="486"/>
      <c r="Q67" s="486"/>
      <c r="R67" s="486"/>
      <c r="S67" s="486"/>
      <c r="T67" s="486"/>
      <c r="U67" s="486"/>
      <c r="V67" s="486"/>
      <c r="W67" s="486"/>
      <c r="X67" s="486"/>
      <c r="Y67" s="486"/>
      <c r="Z67" s="486"/>
      <c r="AA67" s="486"/>
      <c r="AB67" s="486"/>
      <c r="AC67" s="486"/>
      <c r="AD67" s="486"/>
      <c r="AE67" s="486"/>
      <c r="AF67" s="486"/>
      <c r="AG67" s="486"/>
      <c r="AH67" s="486"/>
      <c r="AI67" s="486"/>
      <c r="AJ67" s="486"/>
      <c r="AK67" s="486"/>
      <c r="AL67" s="486"/>
      <c r="AM67" s="486"/>
      <c r="AN67" s="486"/>
      <c r="AO67" s="486"/>
      <c r="AP67" s="486"/>
      <c r="AQ67" s="486"/>
      <c r="AR67" s="486"/>
      <c r="AS67" s="486"/>
      <c r="AT67" s="486"/>
      <c r="AU67" s="486"/>
      <c r="AV67" s="486"/>
      <c r="AW67" s="486"/>
      <c r="AX67" s="486"/>
      <c r="AY67" s="486"/>
      <c r="AZ67" s="486"/>
      <c r="BA67" s="486"/>
    </row>
    <row r="68" spans="1:53">
      <c r="P68" s="486"/>
      <c r="Q68" s="486"/>
      <c r="R68" s="486"/>
      <c r="S68" s="486"/>
      <c r="T68" s="486"/>
      <c r="U68" s="486"/>
      <c r="V68" s="486"/>
      <c r="W68" s="486"/>
      <c r="X68" s="486"/>
      <c r="Y68" s="486"/>
      <c r="Z68" s="486"/>
      <c r="AA68" s="486"/>
      <c r="AB68" s="486"/>
      <c r="AC68" s="486"/>
      <c r="AD68" s="486"/>
      <c r="AE68" s="486"/>
      <c r="AF68" s="486"/>
      <c r="AG68" s="486"/>
      <c r="AH68" s="486"/>
      <c r="AI68" s="486"/>
      <c r="AJ68" s="486"/>
      <c r="AK68" s="486"/>
      <c r="AL68" s="486"/>
      <c r="AM68" s="486"/>
      <c r="AN68" s="486"/>
      <c r="AO68" s="486"/>
      <c r="AP68" s="486"/>
      <c r="AQ68" s="486"/>
      <c r="AR68" s="486"/>
      <c r="AS68" s="486"/>
      <c r="AT68" s="486"/>
      <c r="AU68" s="486"/>
      <c r="AV68" s="486"/>
      <c r="AW68" s="486"/>
      <c r="AX68" s="486"/>
      <c r="AY68" s="486"/>
      <c r="AZ68" s="486"/>
      <c r="BA68" s="486"/>
    </row>
    <row r="69" spans="1:53">
      <c r="P69" s="486"/>
      <c r="Q69" s="486"/>
      <c r="R69" s="486"/>
      <c r="S69" s="486"/>
      <c r="T69" s="486"/>
      <c r="U69" s="486"/>
      <c r="V69" s="486"/>
      <c r="W69" s="486"/>
      <c r="X69" s="486"/>
      <c r="Y69" s="486"/>
      <c r="Z69" s="486"/>
      <c r="AA69" s="486"/>
      <c r="AB69" s="486"/>
      <c r="AC69" s="486"/>
      <c r="AD69" s="486"/>
      <c r="AE69" s="486"/>
      <c r="AF69" s="486"/>
      <c r="AG69" s="486"/>
      <c r="AH69" s="486"/>
      <c r="AI69" s="486"/>
      <c r="AJ69" s="486"/>
      <c r="AK69" s="486"/>
      <c r="AL69" s="486"/>
      <c r="AM69" s="486"/>
      <c r="AN69" s="486"/>
      <c r="AO69" s="486"/>
      <c r="AP69" s="486"/>
      <c r="AQ69" s="486"/>
      <c r="AR69" s="486"/>
      <c r="AS69" s="486"/>
      <c r="AT69" s="486"/>
      <c r="AU69" s="486"/>
      <c r="AV69" s="486"/>
      <c r="AW69" s="486"/>
      <c r="AX69" s="486"/>
      <c r="AY69" s="486"/>
      <c r="AZ69" s="486"/>
      <c r="BA69" s="486"/>
    </row>
    <row r="70" spans="1:53">
      <c r="A70" s="486"/>
      <c r="B70" s="486"/>
      <c r="C70" s="486"/>
      <c r="D70" s="486"/>
      <c r="E70" s="486"/>
      <c r="F70" s="486"/>
      <c r="G70" s="486"/>
      <c r="H70" s="486"/>
      <c r="I70" s="486"/>
      <c r="J70" s="486"/>
      <c r="K70" s="486"/>
      <c r="L70" s="486"/>
      <c r="M70" s="486"/>
      <c r="N70" s="486"/>
      <c r="O70" s="486"/>
      <c r="P70" s="486"/>
      <c r="Q70" s="486"/>
      <c r="R70" s="486"/>
      <c r="S70" s="486"/>
      <c r="T70" s="486"/>
      <c r="U70" s="486"/>
      <c r="V70" s="486"/>
      <c r="W70" s="486"/>
      <c r="X70" s="486"/>
      <c r="Y70" s="486"/>
      <c r="Z70" s="486"/>
      <c r="AA70" s="486"/>
      <c r="AB70" s="486"/>
      <c r="AC70" s="486"/>
      <c r="AD70" s="486"/>
      <c r="AE70" s="486"/>
      <c r="AF70" s="486"/>
      <c r="AG70" s="486"/>
      <c r="AH70" s="486"/>
      <c r="AI70" s="486"/>
      <c r="AJ70" s="486"/>
      <c r="AK70" s="486"/>
      <c r="AL70" s="486"/>
      <c r="AM70" s="486"/>
      <c r="AN70" s="486"/>
      <c r="AO70" s="486"/>
      <c r="AP70" s="486"/>
      <c r="AQ70" s="486"/>
      <c r="AR70" s="486"/>
      <c r="AS70" s="486"/>
      <c r="AT70" s="486"/>
      <c r="AU70" s="486"/>
      <c r="AV70" s="486"/>
      <c r="AW70" s="486"/>
      <c r="AX70" s="486"/>
      <c r="AY70" s="486"/>
      <c r="AZ70" s="486"/>
      <c r="BA70" s="486"/>
    </row>
    <row r="71" spans="1:53">
      <c r="A71" s="486"/>
      <c r="B71" s="486"/>
      <c r="C71" s="486"/>
      <c r="D71" s="486"/>
      <c r="E71" s="486"/>
      <c r="F71" s="486"/>
      <c r="G71" s="486"/>
      <c r="H71" s="486"/>
      <c r="I71" s="486"/>
      <c r="J71" s="486"/>
      <c r="K71" s="486"/>
      <c r="L71" s="486"/>
      <c r="M71" s="486"/>
      <c r="N71" s="486"/>
      <c r="O71" s="486"/>
      <c r="P71" s="486"/>
      <c r="Q71" s="486"/>
      <c r="R71" s="486"/>
      <c r="S71" s="486"/>
      <c r="T71" s="486"/>
      <c r="U71" s="486"/>
      <c r="V71" s="486"/>
      <c r="W71" s="486"/>
      <c r="X71" s="486"/>
      <c r="Y71" s="486"/>
      <c r="Z71" s="486"/>
      <c r="AA71" s="486"/>
      <c r="AB71" s="486"/>
      <c r="AC71" s="486"/>
      <c r="AD71" s="486"/>
      <c r="AE71" s="486"/>
      <c r="AF71" s="486"/>
      <c r="AG71" s="486"/>
      <c r="AH71" s="486"/>
      <c r="AI71" s="486"/>
      <c r="AJ71" s="486"/>
      <c r="AK71" s="486"/>
      <c r="AL71" s="486"/>
      <c r="AM71" s="486"/>
      <c r="AN71" s="486"/>
      <c r="AO71" s="486"/>
      <c r="AP71" s="486"/>
      <c r="AQ71" s="486"/>
      <c r="AR71" s="486"/>
      <c r="AS71" s="486"/>
      <c r="AT71" s="486"/>
      <c r="AU71" s="486"/>
      <c r="AV71" s="486"/>
      <c r="AW71" s="486"/>
      <c r="AX71" s="486"/>
      <c r="AY71" s="486"/>
      <c r="AZ71" s="486"/>
      <c r="BA71" s="486"/>
    </row>
    <row r="72" spans="1:53">
      <c r="A72" s="486"/>
      <c r="B72" s="486"/>
      <c r="C72" s="486"/>
      <c r="D72" s="486"/>
      <c r="E72" s="486"/>
      <c r="F72" s="486"/>
      <c r="G72" s="486"/>
      <c r="H72" s="486"/>
      <c r="I72" s="486"/>
      <c r="J72" s="486"/>
      <c r="K72" s="486"/>
      <c r="L72" s="486"/>
      <c r="M72" s="486"/>
      <c r="N72" s="486"/>
      <c r="O72" s="486"/>
      <c r="P72" s="486"/>
      <c r="Q72" s="486"/>
      <c r="R72" s="486"/>
      <c r="S72" s="486"/>
      <c r="T72" s="486"/>
      <c r="U72" s="486"/>
      <c r="V72" s="486"/>
      <c r="W72" s="486"/>
      <c r="X72" s="486"/>
      <c r="Y72" s="486"/>
      <c r="Z72" s="486"/>
      <c r="AA72" s="486"/>
      <c r="AB72" s="486"/>
      <c r="AC72" s="486"/>
      <c r="AD72" s="486"/>
      <c r="AE72" s="486"/>
      <c r="AF72" s="486"/>
      <c r="AG72" s="486"/>
      <c r="AH72" s="486"/>
      <c r="AI72" s="486"/>
      <c r="AJ72" s="486"/>
      <c r="AK72" s="486"/>
      <c r="AL72" s="486"/>
      <c r="AM72" s="486"/>
      <c r="AN72" s="486"/>
      <c r="AO72" s="486"/>
      <c r="AP72" s="486"/>
      <c r="AQ72" s="486"/>
      <c r="AR72" s="486"/>
      <c r="AS72" s="486"/>
      <c r="AT72" s="486"/>
      <c r="AU72" s="486"/>
      <c r="AV72" s="486"/>
      <c r="AW72" s="486"/>
      <c r="AX72" s="486"/>
      <c r="AY72" s="486"/>
      <c r="AZ72" s="486"/>
      <c r="BA72" s="486"/>
    </row>
    <row r="73" spans="1:53">
      <c r="A73" s="486"/>
      <c r="B73" s="486"/>
      <c r="C73" s="486"/>
      <c r="D73" s="486"/>
      <c r="E73" s="486"/>
      <c r="F73" s="486"/>
      <c r="G73" s="486"/>
      <c r="H73" s="486"/>
      <c r="I73" s="486"/>
      <c r="J73" s="486"/>
      <c r="K73" s="486"/>
      <c r="L73" s="486"/>
      <c r="M73" s="486"/>
      <c r="N73" s="486"/>
      <c r="O73" s="486"/>
      <c r="P73" s="486"/>
      <c r="Q73" s="486"/>
      <c r="R73" s="486"/>
      <c r="S73" s="486"/>
      <c r="T73" s="486"/>
      <c r="U73" s="486"/>
      <c r="V73" s="486"/>
      <c r="W73" s="486"/>
      <c r="X73" s="486"/>
      <c r="Y73" s="486"/>
      <c r="Z73" s="486"/>
      <c r="AA73" s="486"/>
      <c r="AB73" s="486"/>
      <c r="AC73" s="486"/>
      <c r="AD73" s="486"/>
      <c r="AE73" s="486"/>
      <c r="AF73" s="486"/>
      <c r="AG73" s="486"/>
      <c r="AH73" s="486"/>
      <c r="AI73" s="486"/>
      <c r="AJ73" s="486"/>
      <c r="AK73" s="486"/>
      <c r="AL73" s="486"/>
      <c r="AM73" s="486"/>
      <c r="AN73" s="486"/>
      <c r="AO73" s="486"/>
      <c r="AP73" s="486"/>
      <c r="AQ73" s="486"/>
      <c r="AR73" s="486"/>
      <c r="AS73" s="486"/>
      <c r="AT73" s="486"/>
      <c r="AU73" s="486"/>
      <c r="AV73" s="486"/>
      <c r="AW73" s="486"/>
      <c r="AX73" s="486"/>
      <c r="AY73" s="486"/>
      <c r="AZ73" s="486"/>
      <c r="BA73" s="486"/>
    </row>
    <row r="74" spans="1:53">
      <c r="A74" s="486"/>
      <c r="B74" s="486"/>
      <c r="C74" s="486"/>
      <c r="D74" s="486"/>
      <c r="E74" s="486"/>
      <c r="F74" s="486"/>
      <c r="G74" s="486"/>
      <c r="H74" s="486"/>
      <c r="I74" s="486"/>
      <c r="J74" s="486"/>
      <c r="K74" s="486"/>
      <c r="L74" s="486"/>
      <c r="M74" s="486"/>
      <c r="N74" s="486"/>
      <c r="O74" s="486"/>
      <c r="P74" s="486"/>
      <c r="Q74" s="486"/>
      <c r="R74" s="486"/>
      <c r="S74" s="486"/>
      <c r="T74" s="486"/>
      <c r="U74" s="486"/>
      <c r="V74" s="486"/>
      <c r="W74" s="486"/>
      <c r="X74" s="486"/>
      <c r="Y74" s="486"/>
      <c r="Z74" s="486"/>
      <c r="AA74" s="486"/>
      <c r="AB74" s="486"/>
      <c r="AC74" s="486"/>
      <c r="AD74" s="486"/>
      <c r="AE74" s="486"/>
      <c r="AF74" s="486"/>
      <c r="AG74" s="486"/>
      <c r="AH74" s="486"/>
      <c r="AI74" s="486"/>
      <c r="AJ74" s="486"/>
      <c r="AK74" s="486"/>
      <c r="AL74" s="486"/>
      <c r="AM74" s="486"/>
      <c r="AN74" s="486"/>
      <c r="AO74" s="486"/>
      <c r="AP74" s="486"/>
      <c r="AQ74" s="486"/>
      <c r="AR74" s="486"/>
      <c r="AS74" s="486"/>
      <c r="AT74" s="486"/>
      <c r="AU74" s="486"/>
      <c r="AV74" s="486"/>
      <c r="AW74" s="486"/>
      <c r="AX74" s="486"/>
      <c r="AY74" s="486"/>
      <c r="AZ74" s="486"/>
      <c r="BA74" s="486"/>
    </row>
    <row r="75" spans="1:53">
      <c r="A75" s="486"/>
      <c r="B75" s="486"/>
      <c r="C75" s="486"/>
      <c r="D75" s="486"/>
      <c r="E75" s="486"/>
      <c r="F75" s="486"/>
      <c r="G75" s="486"/>
      <c r="H75" s="486"/>
      <c r="I75" s="486"/>
      <c r="J75" s="486"/>
      <c r="K75" s="486"/>
      <c r="L75" s="486"/>
      <c r="M75" s="486"/>
      <c r="N75" s="486"/>
      <c r="O75" s="486"/>
      <c r="P75" s="486"/>
      <c r="Q75" s="486"/>
      <c r="R75" s="486"/>
      <c r="S75" s="486"/>
      <c r="T75" s="486"/>
      <c r="U75" s="486"/>
      <c r="V75" s="486"/>
      <c r="W75" s="486"/>
      <c r="X75" s="486"/>
      <c r="Y75" s="486"/>
      <c r="Z75" s="486"/>
      <c r="AA75" s="486"/>
      <c r="AB75" s="486"/>
      <c r="AC75" s="486"/>
      <c r="AD75" s="486"/>
      <c r="AE75" s="486"/>
      <c r="AF75" s="486"/>
      <c r="AG75" s="486"/>
      <c r="AH75" s="486"/>
      <c r="AI75" s="486"/>
      <c r="AJ75" s="486"/>
      <c r="AK75" s="486"/>
      <c r="AL75" s="486"/>
      <c r="AM75" s="486"/>
      <c r="AN75" s="486"/>
      <c r="AO75" s="486"/>
      <c r="AP75" s="486"/>
      <c r="AQ75" s="486"/>
      <c r="AR75" s="486"/>
      <c r="AS75" s="486"/>
      <c r="AT75" s="486"/>
      <c r="AU75" s="486"/>
      <c r="AV75" s="486"/>
      <c r="AW75" s="486"/>
      <c r="AX75" s="486"/>
      <c r="AY75" s="486"/>
      <c r="AZ75" s="486"/>
      <c r="BA75" s="486"/>
    </row>
    <row r="76" spans="1:53">
      <c r="A76" s="486"/>
      <c r="B76" s="486"/>
      <c r="C76" s="486"/>
      <c r="D76" s="486"/>
      <c r="E76" s="486"/>
      <c r="F76" s="486"/>
      <c r="G76" s="486"/>
      <c r="H76" s="486"/>
      <c r="I76" s="486"/>
      <c r="J76" s="486"/>
      <c r="K76" s="486"/>
      <c r="L76" s="486"/>
      <c r="M76" s="486"/>
      <c r="N76" s="486"/>
      <c r="O76" s="486"/>
      <c r="P76" s="486"/>
      <c r="Q76" s="486"/>
      <c r="R76" s="486"/>
      <c r="S76" s="486"/>
      <c r="T76" s="486"/>
      <c r="U76" s="486"/>
      <c r="V76" s="486"/>
      <c r="W76" s="486"/>
      <c r="X76" s="486"/>
      <c r="Y76" s="486"/>
      <c r="Z76" s="486"/>
      <c r="AA76" s="486"/>
      <c r="AB76" s="486"/>
      <c r="AC76" s="486"/>
      <c r="AD76" s="486"/>
      <c r="AE76" s="486"/>
      <c r="AF76" s="486"/>
      <c r="AG76" s="486"/>
      <c r="AH76" s="486"/>
      <c r="AI76" s="486"/>
      <c r="AJ76" s="486"/>
      <c r="AK76" s="486"/>
      <c r="AL76" s="486"/>
      <c r="AM76" s="486"/>
      <c r="AN76" s="486"/>
      <c r="AO76" s="486"/>
      <c r="AP76" s="486"/>
      <c r="AQ76" s="486"/>
      <c r="AR76" s="486"/>
      <c r="AS76" s="486"/>
      <c r="AT76" s="486"/>
      <c r="AU76" s="486"/>
      <c r="AV76" s="486"/>
      <c r="AW76" s="486"/>
      <c r="AX76" s="486"/>
      <c r="AY76" s="486"/>
      <c r="AZ76" s="486"/>
      <c r="BA76" s="486"/>
    </row>
    <row r="77" spans="1:53">
      <c r="A77" s="486"/>
      <c r="B77" s="486"/>
      <c r="C77" s="486"/>
      <c r="D77" s="486"/>
      <c r="E77" s="486"/>
      <c r="F77" s="486"/>
      <c r="G77" s="486"/>
      <c r="H77" s="486"/>
      <c r="I77" s="486"/>
      <c r="J77" s="486"/>
      <c r="K77" s="486"/>
      <c r="L77" s="486"/>
      <c r="M77" s="486"/>
      <c r="N77" s="486"/>
      <c r="O77" s="486"/>
      <c r="P77" s="486"/>
      <c r="Q77" s="486"/>
      <c r="R77" s="486"/>
      <c r="S77" s="486"/>
      <c r="T77" s="486"/>
      <c r="U77" s="486"/>
      <c r="V77" s="486"/>
      <c r="W77" s="486"/>
      <c r="X77" s="486"/>
      <c r="Y77" s="486"/>
      <c r="Z77" s="486"/>
      <c r="AA77" s="486"/>
      <c r="AB77" s="486"/>
      <c r="AC77" s="486"/>
      <c r="AD77" s="486"/>
      <c r="AE77" s="486"/>
      <c r="AF77" s="486"/>
      <c r="AG77" s="486"/>
      <c r="AH77" s="486"/>
      <c r="AI77" s="486"/>
      <c r="AJ77" s="486"/>
      <c r="AK77" s="486"/>
      <c r="AL77" s="486"/>
      <c r="AM77" s="486"/>
      <c r="AN77" s="486"/>
      <c r="AO77" s="486"/>
      <c r="AP77" s="486"/>
      <c r="AQ77" s="486"/>
      <c r="AR77" s="486"/>
      <c r="AS77" s="486"/>
      <c r="AT77" s="486"/>
      <c r="AU77" s="486"/>
      <c r="AV77" s="486"/>
      <c r="AW77" s="486"/>
      <c r="AX77" s="486"/>
      <c r="AY77" s="486"/>
      <c r="AZ77" s="486"/>
      <c r="BA77" s="486"/>
    </row>
    <row r="78" spans="1:53">
      <c r="A78" s="486"/>
      <c r="B78" s="486"/>
      <c r="C78" s="486"/>
      <c r="D78" s="486"/>
      <c r="E78" s="486"/>
      <c r="F78" s="486"/>
      <c r="G78" s="486"/>
      <c r="H78" s="486"/>
      <c r="I78" s="486"/>
      <c r="J78" s="486"/>
      <c r="K78" s="486"/>
      <c r="L78" s="486"/>
      <c r="M78" s="486"/>
      <c r="N78" s="486"/>
      <c r="O78" s="486"/>
      <c r="P78" s="486"/>
      <c r="Q78" s="486"/>
      <c r="R78" s="486"/>
      <c r="S78" s="486"/>
      <c r="T78" s="486"/>
      <c r="U78" s="486"/>
      <c r="V78" s="486"/>
      <c r="W78" s="486"/>
      <c r="X78" s="486"/>
      <c r="Y78" s="486"/>
      <c r="Z78" s="486"/>
      <c r="AA78" s="486"/>
      <c r="AB78" s="486"/>
      <c r="AC78" s="486"/>
      <c r="AD78" s="486"/>
      <c r="AE78" s="486"/>
      <c r="AF78" s="486"/>
      <c r="AG78" s="486"/>
      <c r="AH78" s="486"/>
      <c r="AI78" s="486"/>
      <c r="AJ78" s="486"/>
      <c r="AK78" s="486"/>
      <c r="AL78" s="486"/>
      <c r="AM78" s="486"/>
      <c r="AN78" s="486"/>
      <c r="AO78" s="486"/>
      <c r="AP78" s="486"/>
      <c r="AQ78" s="486"/>
      <c r="AR78" s="486"/>
      <c r="AS78" s="486"/>
      <c r="AT78" s="486"/>
      <c r="AU78" s="486"/>
      <c r="AV78" s="486"/>
      <c r="AW78" s="486"/>
      <c r="AX78" s="486"/>
      <c r="AY78" s="486"/>
      <c r="AZ78" s="486"/>
      <c r="BA78" s="486"/>
    </row>
    <row r="79" spans="1:53">
      <c r="A79" s="486"/>
      <c r="B79" s="486"/>
      <c r="C79" s="486"/>
      <c r="D79" s="486"/>
      <c r="E79" s="486"/>
      <c r="F79" s="486"/>
      <c r="G79" s="486"/>
      <c r="H79" s="486"/>
      <c r="I79" s="486"/>
      <c r="J79" s="486"/>
      <c r="K79" s="486"/>
      <c r="L79" s="486"/>
      <c r="M79" s="486"/>
      <c r="N79" s="486"/>
      <c r="O79" s="486"/>
      <c r="P79" s="486"/>
      <c r="Q79" s="486"/>
      <c r="R79" s="486"/>
      <c r="S79" s="486"/>
      <c r="T79" s="486"/>
      <c r="U79" s="486"/>
      <c r="V79" s="486"/>
      <c r="W79" s="486"/>
      <c r="X79" s="486"/>
      <c r="Y79" s="486"/>
      <c r="Z79" s="486"/>
      <c r="AA79" s="486"/>
      <c r="AB79" s="486"/>
      <c r="AC79" s="486"/>
      <c r="AD79" s="486"/>
      <c r="AE79" s="486"/>
      <c r="AF79" s="486"/>
      <c r="AG79" s="486"/>
      <c r="AH79" s="486"/>
      <c r="AI79" s="486"/>
      <c r="AJ79" s="486"/>
      <c r="AK79" s="486"/>
      <c r="AL79" s="486"/>
      <c r="AM79" s="486"/>
      <c r="AN79" s="486"/>
      <c r="AO79" s="486"/>
      <c r="AP79" s="486"/>
      <c r="AQ79" s="486"/>
      <c r="AR79" s="486"/>
      <c r="AS79" s="486"/>
      <c r="AT79" s="486"/>
      <c r="AU79" s="486"/>
      <c r="AV79" s="486"/>
      <c r="AW79" s="486"/>
      <c r="AX79" s="486"/>
      <c r="AY79" s="486"/>
      <c r="AZ79" s="486"/>
      <c r="BA79" s="486"/>
    </row>
    <row r="80" spans="1:53">
      <c r="A80" s="486"/>
      <c r="B80" s="486"/>
      <c r="C80" s="486"/>
      <c r="D80" s="486"/>
      <c r="E80" s="486"/>
      <c r="F80" s="486"/>
      <c r="G80" s="486"/>
      <c r="H80" s="486"/>
      <c r="I80" s="486"/>
      <c r="J80" s="486"/>
      <c r="K80" s="486"/>
      <c r="L80" s="486"/>
      <c r="M80" s="486"/>
      <c r="N80" s="486"/>
      <c r="O80" s="486"/>
      <c r="P80" s="486"/>
      <c r="Q80" s="486"/>
      <c r="R80" s="486"/>
      <c r="S80" s="486"/>
      <c r="T80" s="486"/>
      <c r="U80" s="486"/>
      <c r="V80" s="486"/>
      <c r="W80" s="486"/>
      <c r="X80" s="486"/>
      <c r="Y80" s="486"/>
      <c r="Z80" s="486"/>
      <c r="AA80" s="486"/>
      <c r="AB80" s="486"/>
      <c r="AC80" s="486"/>
      <c r="AD80" s="486"/>
      <c r="AE80" s="486"/>
      <c r="AF80" s="486"/>
      <c r="AG80" s="486"/>
      <c r="AH80" s="486"/>
      <c r="AI80" s="486"/>
      <c r="AJ80" s="486"/>
      <c r="AK80" s="486"/>
      <c r="AL80" s="486"/>
      <c r="AM80" s="486"/>
      <c r="AN80" s="486"/>
      <c r="AO80" s="486"/>
      <c r="AP80" s="486"/>
      <c r="AQ80" s="486"/>
      <c r="AR80" s="486"/>
      <c r="AS80" s="486"/>
      <c r="AT80" s="486"/>
      <c r="AU80" s="486"/>
      <c r="AV80" s="486"/>
      <c r="AW80" s="486"/>
      <c r="AX80" s="486"/>
      <c r="AY80" s="486"/>
      <c r="AZ80" s="486"/>
      <c r="BA80" s="486"/>
    </row>
    <row r="81" spans="1:53">
      <c r="A81" s="486"/>
      <c r="B81" s="486"/>
      <c r="C81" s="486"/>
      <c r="D81" s="486"/>
      <c r="E81" s="486"/>
      <c r="F81" s="486"/>
      <c r="G81" s="486"/>
      <c r="H81" s="486"/>
      <c r="I81" s="486"/>
      <c r="J81" s="486"/>
      <c r="K81" s="486"/>
      <c r="L81" s="486"/>
      <c r="M81" s="486"/>
      <c r="N81" s="486"/>
      <c r="O81" s="486"/>
      <c r="P81" s="486"/>
      <c r="Q81" s="486"/>
      <c r="R81" s="486"/>
      <c r="S81" s="486"/>
      <c r="T81" s="486"/>
      <c r="U81" s="486"/>
      <c r="V81" s="486"/>
      <c r="W81" s="486"/>
      <c r="X81" s="486"/>
      <c r="Y81" s="486"/>
      <c r="Z81" s="486"/>
      <c r="AA81" s="486"/>
      <c r="AB81" s="486"/>
      <c r="AC81" s="486"/>
      <c r="AD81" s="486"/>
      <c r="AE81" s="486"/>
      <c r="AF81" s="486"/>
      <c r="AG81" s="486"/>
      <c r="AH81" s="486"/>
      <c r="AI81" s="486"/>
      <c r="AJ81" s="486"/>
      <c r="AK81" s="486"/>
      <c r="AL81" s="486"/>
      <c r="AM81" s="486"/>
      <c r="AN81" s="486"/>
      <c r="AO81" s="486"/>
      <c r="AP81" s="486"/>
      <c r="AQ81" s="486"/>
      <c r="AR81" s="486"/>
      <c r="AS81" s="486"/>
      <c r="AT81" s="486"/>
      <c r="AU81" s="486"/>
      <c r="AV81" s="486"/>
      <c r="AW81" s="486"/>
      <c r="AX81" s="486"/>
      <c r="AY81" s="486"/>
      <c r="AZ81" s="486"/>
      <c r="BA81" s="486"/>
    </row>
    <row r="82" spans="1:53">
      <c r="A82" s="486"/>
      <c r="B82" s="486"/>
      <c r="C82" s="486"/>
      <c r="D82" s="486"/>
      <c r="E82" s="486"/>
      <c r="F82" s="486"/>
      <c r="G82" s="486"/>
      <c r="H82" s="486"/>
      <c r="I82" s="486"/>
      <c r="J82" s="486"/>
      <c r="K82" s="486"/>
      <c r="L82" s="486"/>
      <c r="M82" s="486"/>
      <c r="N82" s="486"/>
      <c r="O82" s="486"/>
      <c r="P82" s="486"/>
      <c r="Q82" s="486"/>
      <c r="R82" s="486"/>
      <c r="S82" s="486"/>
      <c r="T82" s="486"/>
      <c r="U82" s="486"/>
      <c r="V82" s="486"/>
      <c r="W82" s="486"/>
      <c r="X82" s="486"/>
      <c r="Y82" s="486"/>
      <c r="Z82" s="486"/>
      <c r="AA82" s="486"/>
      <c r="AB82" s="486"/>
      <c r="AC82" s="486"/>
      <c r="AD82" s="486"/>
      <c r="AE82" s="486"/>
      <c r="AF82" s="486"/>
      <c r="AG82" s="486"/>
      <c r="AH82" s="486"/>
      <c r="AI82" s="486"/>
      <c r="AJ82" s="486"/>
      <c r="AK82" s="486"/>
      <c r="AL82" s="486"/>
      <c r="AM82" s="486"/>
      <c r="AN82" s="486"/>
      <c r="AO82" s="486"/>
      <c r="AP82" s="486"/>
      <c r="AQ82" s="486"/>
      <c r="AR82" s="486"/>
      <c r="AS82" s="486"/>
      <c r="AT82" s="486"/>
      <c r="AU82" s="486"/>
      <c r="AV82" s="486"/>
      <c r="AW82" s="486"/>
      <c r="AX82" s="486"/>
      <c r="AY82" s="486"/>
      <c r="AZ82" s="486"/>
      <c r="BA82" s="486"/>
    </row>
    <row r="83" spans="1:53">
      <c r="A83" s="486"/>
      <c r="B83" s="486"/>
      <c r="C83" s="486"/>
      <c r="D83" s="486"/>
      <c r="E83" s="486"/>
      <c r="F83" s="486"/>
      <c r="G83" s="486"/>
      <c r="H83" s="486"/>
      <c r="I83" s="486"/>
      <c r="J83" s="486"/>
      <c r="K83" s="486"/>
      <c r="L83" s="486"/>
      <c r="M83" s="486"/>
      <c r="N83" s="486"/>
      <c r="O83" s="486"/>
      <c r="P83" s="486"/>
      <c r="Q83" s="486"/>
      <c r="R83" s="486"/>
      <c r="S83" s="486"/>
      <c r="T83" s="486"/>
      <c r="U83" s="486"/>
      <c r="V83" s="486"/>
      <c r="W83" s="486"/>
      <c r="X83" s="486"/>
      <c r="Y83" s="486"/>
      <c r="Z83" s="486"/>
      <c r="AA83" s="486"/>
      <c r="AB83" s="486"/>
      <c r="AC83" s="486"/>
      <c r="AD83" s="486"/>
      <c r="AE83" s="486"/>
      <c r="AF83" s="486"/>
      <c r="AG83" s="486"/>
      <c r="AH83" s="486"/>
      <c r="AI83" s="486"/>
      <c r="AJ83" s="486"/>
      <c r="AK83" s="486"/>
      <c r="AL83" s="486"/>
      <c r="AM83" s="486"/>
      <c r="AN83" s="486"/>
      <c r="AO83" s="486"/>
      <c r="AP83" s="486"/>
      <c r="AQ83" s="486"/>
      <c r="AR83" s="486"/>
      <c r="AS83" s="486"/>
      <c r="AT83" s="486"/>
      <c r="AU83" s="486"/>
      <c r="AV83" s="486"/>
      <c r="AW83" s="486"/>
      <c r="AX83" s="486"/>
      <c r="AY83" s="486"/>
      <c r="AZ83" s="486"/>
      <c r="BA83" s="486"/>
    </row>
    <row r="84" spans="1:53">
      <c r="A84" s="486"/>
      <c r="B84" s="486"/>
      <c r="C84" s="486"/>
      <c r="D84" s="486"/>
      <c r="E84" s="486"/>
      <c r="F84" s="486"/>
      <c r="G84" s="486"/>
      <c r="H84" s="486"/>
      <c r="I84" s="486"/>
      <c r="J84" s="486"/>
      <c r="K84" s="486"/>
      <c r="L84" s="486"/>
      <c r="M84" s="486"/>
      <c r="N84" s="486"/>
      <c r="O84" s="486"/>
      <c r="P84" s="486"/>
      <c r="Q84" s="486"/>
      <c r="R84" s="486"/>
      <c r="S84" s="486"/>
      <c r="T84" s="486"/>
      <c r="U84" s="486"/>
      <c r="V84" s="486"/>
      <c r="W84" s="486"/>
      <c r="X84" s="486"/>
      <c r="Y84" s="486"/>
      <c r="Z84" s="486"/>
      <c r="AA84" s="486"/>
      <c r="AB84" s="486"/>
      <c r="AC84" s="486"/>
      <c r="AD84" s="486"/>
      <c r="AE84" s="486"/>
      <c r="AF84" s="486"/>
      <c r="AG84" s="486"/>
      <c r="AH84" s="486"/>
      <c r="AI84" s="486"/>
      <c r="AJ84" s="486"/>
      <c r="AK84" s="486"/>
      <c r="AL84" s="486"/>
      <c r="AM84" s="486"/>
      <c r="AN84" s="486"/>
      <c r="AO84" s="486"/>
      <c r="AP84" s="486"/>
      <c r="AQ84" s="486"/>
      <c r="AR84" s="486"/>
      <c r="AS84" s="486"/>
      <c r="AT84" s="486"/>
      <c r="AU84" s="486"/>
      <c r="AV84" s="486"/>
      <c r="AW84" s="486"/>
      <c r="AX84" s="486"/>
      <c r="AY84" s="486"/>
      <c r="AZ84" s="486"/>
      <c r="BA84" s="486"/>
    </row>
    <row r="85" spans="1:53">
      <c r="A85" s="486"/>
      <c r="B85" s="486"/>
      <c r="C85" s="486"/>
      <c r="D85" s="486"/>
      <c r="E85" s="486"/>
      <c r="F85" s="486"/>
      <c r="G85" s="486"/>
      <c r="H85" s="486"/>
      <c r="I85" s="486"/>
      <c r="J85" s="486"/>
      <c r="K85" s="486"/>
      <c r="L85" s="486"/>
      <c r="M85" s="486"/>
      <c r="N85" s="486"/>
      <c r="O85" s="486"/>
      <c r="P85" s="486"/>
      <c r="Q85" s="486"/>
      <c r="R85" s="486"/>
      <c r="S85" s="486"/>
      <c r="T85" s="486"/>
      <c r="U85" s="486"/>
      <c r="V85" s="486"/>
      <c r="W85" s="486"/>
      <c r="X85" s="486"/>
      <c r="Y85" s="486"/>
      <c r="Z85" s="486"/>
      <c r="AA85" s="486"/>
      <c r="AB85" s="486"/>
      <c r="AC85" s="486"/>
      <c r="AD85" s="486"/>
      <c r="AE85" s="486"/>
      <c r="AF85" s="486"/>
      <c r="AG85" s="486"/>
      <c r="AH85" s="486"/>
      <c r="AI85" s="486"/>
      <c r="AJ85" s="486"/>
      <c r="AK85" s="486"/>
      <c r="AL85" s="486"/>
      <c r="AM85" s="486"/>
      <c r="AN85" s="486"/>
      <c r="AO85" s="486"/>
      <c r="AP85" s="486"/>
      <c r="AQ85" s="486"/>
      <c r="AR85" s="486"/>
      <c r="AS85" s="486"/>
      <c r="AT85" s="486"/>
      <c r="AU85" s="486"/>
      <c r="AV85" s="486"/>
      <c r="AW85" s="486"/>
      <c r="AX85" s="486"/>
      <c r="AY85" s="486"/>
      <c r="AZ85" s="486"/>
      <c r="BA85" s="486"/>
    </row>
    <row r="86" spans="1:53">
      <c r="A86" s="486"/>
      <c r="B86" s="486"/>
      <c r="C86" s="486"/>
      <c r="D86" s="486"/>
      <c r="E86" s="486"/>
      <c r="F86" s="486"/>
      <c r="G86" s="486"/>
      <c r="H86" s="486"/>
      <c r="I86" s="486"/>
      <c r="J86" s="486"/>
      <c r="K86" s="486"/>
      <c r="L86" s="486"/>
      <c r="M86" s="486"/>
      <c r="N86" s="486"/>
      <c r="O86" s="486"/>
      <c r="P86" s="486"/>
      <c r="Q86" s="486"/>
      <c r="R86" s="486"/>
      <c r="S86" s="486"/>
      <c r="T86" s="486"/>
      <c r="U86" s="486"/>
      <c r="V86" s="486"/>
      <c r="W86" s="486"/>
      <c r="X86" s="486"/>
      <c r="Y86" s="486"/>
      <c r="Z86" s="486"/>
      <c r="AA86" s="486"/>
      <c r="AB86" s="486"/>
      <c r="AC86" s="486"/>
      <c r="AD86" s="486"/>
      <c r="AE86" s="486"/>
      <c r="AF86" s="486"/>
      <c r="AG86" s="486"/>
      <c r="AH86" s="486"/>
      <c r="AI86" s="486"/>
      <c r="AJ86" s="486"/>
      <c r="AK86" s="486"/>
      <c r="AL86" s="486"/>
      <c r="AM86" s="486"/>
      <c r="AN86" s="486"/>
      <c r="AO86" s="486"/>
      <c r="AP86" s="486"/>
      <c r="AQ86" s="486"/>
      <c r="AR86" s="486"/>
      <c r="AS86" s="486"/>
      <c r="AT86" s="486"/>
      <c r="AU86" s="486"/>
      <c r="AV86" s="486"/>
      <c r="AW86" s="486"/>
      <c r="AX86" s="486"/>
      <c r="AY86" s="486"/>
      <c r="AZ86" s="486"/>
      <c r="BA86" s="486"/>
    </row>
    <row r="87" spans="1:53">
      <c r="A87" s="486"/>
      <c r="B87" s="486"/>
      <c r="C87" s="486"/>
      <c r="D87" s="486"/>
      <c r="E87" s="486"/>
      <c r="F87" s="486"/>
      <c r="G87" s="486"/>
      <c r="H87" s="486"/>
      <c r="I87" s="486"/>
      <c r="J87" s="486"/>
      <c r="K87" s="486"/>
      <c r="L87" s="486"/>
      <c r="M87" s="486"/>
      <c r="N87" s="486"/>
      <c r="O87" s="486"/>
      <c r="P87" s="486"/>
      <c r="Q87" s="486"/>
      <c r="R87" s="486"/>
      <c r="S87" s="486"/>
      <c r="T87" s="486"/>
      <c r="U87" s="486"/>
      <c r="V87" s="486"/>
      <c r="W87" s="486"/>
      <c r="X87" s="486"/>
      <c r="Y87" s="486"/>
      <c r="Z87" s="486"/>
      <c r="AA87" s="486"/>
      <c r="AB87" s="486"/>
      <c r="AC87" s="486"/>
      <c r="AD87" s="486"/>
      <c r="AE87" s="486"/>
      <c r="AF87" s="486"/>
      <c r="AG87" s="486"/>
      <c r="AH87" s="486"/>
      <c r="AI87" s="486"/>
      <c r="AJ87" s="486"/>
      <c r="AK87" s="486"/>
      <c r="AL87" s="486"/>
      <c r="AM87" s="486"/>
      <c r="AN87" s="486"/>
      <c r="AO87" s="486"/>
      <c r="AP87" s="486"/>
      <c r="AQ87" s="486"/>
      <c r="AR87" s="486"/>
      <c r="AS87" s="486"/>
      <c r="AT87" s="486"/>
      <c r="AU87" s="486"/>
      <c r="AV87" s="486"/>
      <c r="AW87" s="486"/>
      <c r="AX87" s="486"/>
      <c r="AY87" s="486"/>
      <c r="AZ87" s="486"/>
      <c r="BA87" s="486"/>
    </row>
    <row r="88" spans="1:53">
      <c r="A88" s="486"/>
      <c r="B88" s="486"/>
      <c r="C88" s="486"/>
      <c r="D88" s="486"/>
      <c r="E88" s="486"/>
      <c r="F88" s="486"/>
      <c r="G88" s="486"/>
      <c r="H88" s="486"/>
      <c r="I88" s="486"/>
      <c r="J88" s="486"/>
      <c r="K88" s="486"/>
      <c r="L88" s="486"/>
      <c r="M88" s="486"/>
      <c r="N88" s="486"/>
      <c r="O88" s="486"/>
      <c r="P88" s="486"/>
      <c r="Q88" s="486"/>
      <c r="R88" s="486"/>
      <c r="S88" s="486"/>
      <c r="T88" s="486"/>
      <c r="U88" s="486"/>
      <c r="V88" s="486"/>
      <c r="W88" s="486"/>
      <c r="X88" s="486"/>
      <c r="Y88" s="486"/>
      <c r="Z88" s="486"/>
      <c r="AA88" s="486"/>
      <c r="AB88" s="486"/>
      <c r="AC88" s="486"/>
      <c r="AD88" s="486"/>
      <c r="AE88" s="486"/>
      <c r="AF88" s="486"/>
      <c r="AG88" s="486"/>
      <c r="AH88" s="486"/>
      <c r="AI88" s="486"/>
      <c r="AJ88" s="486"/>
      <c r="AK88" s="486"/>
      <c r="AL88" s="486"/>
      <c r="AM88" s="486"/>
      <c r="AN88" s="486"/>
      <c r="AO88" s="486"/>
      <c r="AP88" s="486"/>
      <c r="AQ88" s="486"/>
      <c r="AR88" s="486"/>
      <c r="AS88" s="486"/>
      <c r="AT88" s="486"/>
      <c r="AU88" s="486"/>
      <c r="AV88" s="486"/>
      <c r="AW88" s="486"/>
      <c r="AX88" s="486"/>
      <c r="AY88" s="486"/>
      <c r="AZ88" s="486"/>
      <c r="BA88" s="486"/>
    </row>
    <row r="89" spans="1:53">
      <c r="A89" s="486"/>
      <c r="B89" s="486"/>
      <c r="C89" s="486"/>
      <c r="D89" s="486"/>
      <c r="E89" s="486"/>
      <c r="F89" s="486"/>
      <c r="G89" s="486"/>
      <c r="H89" s="486"/>
      <c r="I89" s="486"/>
      <c r="J89" s="486"/>
      <c r="K89" s="486"/>
      <c r="L89" s="486"/>
      <c r="M89" s="486"/>
      <c r="N89" s="486"/>
      <c r="O89" s="486"/>
      <c r="P89" s="486"/>
      <c r="Q89" s="486"/>
      <c r="R89" s="486"/>
      <c r="S89" s="486"/>
      <c r="T89" s="486"/>
      <c r="U89" s="486"/>
      <c r="V89" s="486"/>
      <c r="W89" s="486"/>
      <c r="X89" s="486"/>
      <c r="Y89" s="486"/>
      <c r="Z89" s="486"/>
      <c r="AA89" s="486"/>
      <c r="AB89" s="486"/>
      <c r="AC89" s="486"/>
      <c r="AD89" s="486"/>
      <c r="AE89" s="486"/>
      <c r="AF89" s="486"/>
      <c r="AG89" s="486"/>
      <c r="AH89" s="486"/>
      <c r="AI89" s="486"/>
      <c r="AJ89" s="486"/>
      <c r="AK89" s="486"/>
      <c r="AL89" s="486"/>
      <c r="AM89" s="486"/>
      <c r="AN89" s="486"/>
      <c r="AO89" s="486"/>
      <c r="AP89" s="486"/>
      <c r="AQ89" s="486"/>
      <c r="AR89" s="486"/>
      <c r="AS89" s="486"/>
      <c r="AT89" s="486"/>
      <c r="AU89" s="486"/>
      <c r="AV89" s="486"/>
      <c r="AW89" s="486"/>
      <c r="AX89" s="486"/>
      <c r="AY89" s="486"/>
      <c r="AZ89" s="486"/>
      <c r="BA89" s="486"/>
    </row>
    <row r="90" spans="1:53">
      <c r="A90" s="486"/>
      <c r="B90" s="486"/>
      <c r="C90" s="486"/>
      <c r="D90" s="486"/>
      <c r="E90" s="486"/>
      <c r="F90" s="486"/>
      <c r="G90" s="486"/>
      <c r="H90" s="486"/>
      <c r="I90" s="486"/>
      <c r="J90" s="486"/>
      <c r="K90" s="486"/>
      <c r="L90" s="486"/>
      <c r="M90" s="486"/>
      <c r="N90" s="486"/>
      <c r="O90" s="486"/>
      <c r="P90" s="486"/>
      <c r="Q90" s="486"/>
      <c r="R90" s="486"/>
      <c r="S90" s="486"/>
      <c r="T90" s="486"/>
      <c r="U90" s="486"/>
      <c r="V90" s="486"/>
      <c r="W90" s="486"/>
      <c r="X90" s="486"/>
      <c r="Y90" s="486"/>
      <c r="Z90" s="486"/>
      <c r="AA90" s="486"/>
      <c r="AB90" s="486"/>
      <c r="AC90" s="486"/>
      <c r="AD90" s="486"/>
      <c r="AE90" s="486"/>
      <c r="AF90" s="486"/>
      <c r="AG90" s="486"/>
      <c r="AH90" s="486"/>
      <c r="AI90" s="486"/>
      <c r="AJ90" s="486"/>
      <c r="AK90" s="486"/>
      <c r="AL90" s="486"/>
      <c r="AM90" s="486"/>
      <c r="AN90" s="486"/>
      <c r="AO90" s="486"/>
      <c r="AP90" s="486"/>
      <c r="AQ90" s="486"/>
      <c r="AR90" s="486"/>
      <c r="AS90" s="486"/>
      <c r="AT90" s="486"/>
      <c r="AU90" s="486"/>
      <c r="AV90" s="486"/>
      <c r="AW90" s="486"/>
      <c r="AX90" s="486"/>
      <c r="AY90" s="486"/>
      <c r="AZ90" s="486"/>
      <c r="BA90" s="486"/>
    </row>
    <row r="91" spans="1:53">
      <c r="A91" s="486"/>
      <c r="B91" s="486"/>
      <c r="C91" s="486"/>
      <c r="D91" s="486"/>
      <c r="E91" s="486"/>
      <c r="F91" s="486"/>
      <c r="G91" s="486"/>
      <c r="H91" s="486"/>
      <c r="I91" s="486"/>
      <c r="J91" s="486"/>
      <c r="K91" s="486"/>
      <c r="L91" s="486"/>
      <c r="M91" s="486"/>
      <c r="N91" s="486"/>
      <c r="O91" s="486"/>
      <c r="P91" s="486"/>
      <c r="Q91" s="486"/>
      <c r="R91" s="486"/>
      <c r="S91" s="486"/>
      <c r="T91" s="486"/>
      <c r="U91" s="486"/>
      <c r="V91" s="486"/>
      <c r="W91" s="486"/>
      <c r="X91" s="486"/>
      <c r="Y91" s="486"/>
      <c r="Z91" s="486"/>
      <c r="AA91" s="486"/>
      <c r="AB91" s="486"/>
      <c r="AC91" s="486"/>
      <c r="AD91" s="486"/>
      <c r="AE91" s="486"/>
      <c r="AF91" s="486"/>
      <c r="AG91" s="486"/>
      <c r="AH91" s="486"/>
      <c r="AI91" s="486"/>
      <c r="AJ91" s="486"/>
      <c r="AK91" s="486"/>
      <c r="AL91" s="486"/>
      <c r="AM91" s="486"/>
      <c r="AN91" s="486"/>
      <c r="AO91" s="486"/>
      <c r="AP91" s="486"/>
      <c r="AQ91" s="486"/>
      <c r="AR91" s="486"/>
      <c r="AS91" s="486"/>
      <c r="AT91" s="486"/>
      <c r="AU91" s="486"/>
      <c r="AV91" s="486"/>
      <c r="AW91" s="486"/>
      <c r="AX91" s="486"/>
      <c r="AY91" s="486"/>
      <c r="AZ91" s="486"/>
      <c r="BA91" s="486"/>
    </row>
    <row r="92" spans="1:53">
      <c r="A92" s="486"/>
      <c r="B92" s="486"/>
      <c r="C92" s="486"/>
      <c r="D92" s="486"/>
      <c r="E92" s="486"/>
      <c r="F92" s="486"/>
      <c r="G92" s="486"/>
      <c r="H92" s="486"/>
      <c r="I92" s="486"/>
      <c r="J92" s="486"/>
      <c r="K92" s="486"/>
      <c r="L92" s="486"/>
      <c r="M92" s="486"/>
      <c r="N92" s="486"/>
      <c r="O92" s="486"/>
      <c r="P92" s="486"/>
      <c r="Q92" s="486"/>
      <c r="R92" s="486"/>
      <c r="S92" s="486"/>
      <c r="T92" s="486"/>
      <c r="U92" s="486"/>
      <c r="V92" s="486"/>
      <c r="W92" s="486"/>
      <c r="X92" s="486"/>
      <c r="Y92" s="486"/>
      <c r="Z92" s="486"/>
      <c r="AA92" s="486"/>
      <c r="AB92" s="486"/>
      <c r="AC92" s="486"/>
      <c r="AD92" s="486"/>
      <c r="AE92" s="486"/>
      <c r="AF92" s="486"/>
      <c r="AG92" s="486"/>
      <c r="AH92" s="486"/>
      <c r="AI92" s="486"/>
      <c r="AJ92" s="486"/>
      <c r="AK92" s="486"/>
      <c r="AL92" s="486"/>
      <c r="AM92" s="486"/>
      <c r="AN92" s="486"/>
      <c r="AO92" s="486"/>
      <c r="AP92" s="486"/>
      <c r="AQ92" s="486"/>
      <c r="AR92" s="486"/>
      <c r="AS92" s="486"/>
      <c r="AT92" s="486"/>
      <c r="AU92" s="486"/>
      <c r="AV92" s="486"/>
      <c r="AW92" s="486"/>
      <c r="AX92" s="486"/>
      <c r="AY92" s="486"/>
      <c r="AZ92" s="486"/>
      <c r="BA92" s="486"/>
    </row>
    <row r="93" spans="1:53">
      <c r="A93" s="486"/>
      <c r="B93" s="486"/>
      <c r="C93" s="486"/>
      <c r="D93" s="486"/>
      <c r="E93" s="486"/>
      <c r="F93" s="486"/>
      <c r="G93" s="486"/>
      <c r="H93" s="486"/>
      <c r="I93" s="486"/>
      <c r="J93" s="486"/>
      <c r="K93" s="486"/>
      <c r="L93" s="486"/>
      <c r="M93" s="486"/>
      <c r="N93" s="486"/>
      <c r="O93" s="486"/>
      <c r="P93" s="486"/>
      <c r="Q93" s="486"/>
      <c r="R93" s="486"/>
      <c r="S93" s="486"/>
      <c r="T93" s="486"/>
      <c r="U93" s="486"/>
      <c r="V93" s="486"/>
      <c r="W93" s="486"/>
      <c r="X93" s="486"/>
      <c r="Y93" s="486"/>
      <c r="Z93" s="486"/>
      <c r="AA93" s="486"/>
      <c r="AB93" s="486"/>
      <c r="AC93" s="486"/>
      <c r="AD93" s="486"/>
      <c r="AE93" s="486"/>
      <c r="AF93" s="486"/>
      <c r="AG93" s="486"/>
      <c r="AH93" s="486"/>
      <c r="AI93" s="486"/>
      <c r="AJ93" s="486"/>
      <c r="AK93" s="486"/>
      <c r="AL93" s="486"/>
      <c r="AM93" s="486"/>
      <c r="AN93" s="486"/>
      <c r="AO93" s="486"/>
      <c r="AP93" s="486"/>
      <c r="AQ93" s="486"/>
      <c r="AR93" s="486"/>
      <c r="AS93" s="486"/>
      <c r="AT93" s="486"/>
      <c r="AU93" s="486"/>
      <c r="AV93" s="486"/>
      <c r="AW93" s="486"/>
      <c r="AX93" s="486"/>
      <c r="AY93" s="486"/>
      <c r="AZ93" s="486"/>
      <c r="BA93" s="486"/>
    </row>
    <row r="94" spans="1:53">
      <c r="A94" s="486"/>
      <c r="B94" s="486"/>
      <c r="C94" s="486"/>
      <c r="D94" s="486"/>
      <c r="E94" s="486"/>
      <c r="F94" s="486"/>
      <c r="G94" s="486"/>
      <c r="H94" s="486"/>
      <c r="I94" s="486"/>
      <c r="J94" s="486"/>
      <c r="K94" s="486"/>
      <c r="L94" s="486"/>
      <c r="M94" s="486"/>
      <c r="N94" s="486"/>
      <c r="O94" s="486"/>
      <c r="P94" s="486"/>
      <c r="Q94" s="486"/>
      <c r="R94" s="486"/>
      <c r="S94" s="486"/>
      <c r="T94" s="486"/>
      <c r="U94" s="486"/>
      <c r="V94" s="486"/>
      <c r="W94" s="486"/>
      <c r="X94" s="486"/>
      <c r="Y94" s="486"/>
      <c r="Z94" s="486"/>
      <c r="AA94" s="486"/>
      <c r="AB94" s="486"/>
      <c r="AC94" s="486"/>
      <c r="AD94" s="486"/>
      <c r="AE94" s="486"/>
      <c r="AF94" s="486"/>
      <c r="AG94" s="486"/>
      <c r="AH94" s="486"/>
      <c r="AI94" s="486"/>
      <c r="AJ94" s="486"/>
      <c r="AK94" s="486"/>
      <c r="AL94" s="486"/>
      <c r="AM94" s="486"/>
      <c r="AN94" s="486"/>
      <c r="AO94" s="486"/>
      <c r="AP94" s="486"/>
      <c r="AQ94" s="486"/>
      <c r="AR94" s="486"/>
      <c r="AS94" s="486"/>
      <c r="AT94" s="486"/>
      <c r="AU94" s="486"/>
      <c r="AV94" s="486"/>
      <c r="AW94" s="486"/>
      <c r="AX94" s="486"/>
      <c r="AY94" s="486"/>
      <c r="AZ94" s="486"/>
      <c r="BA94" s="486"/>
    </row>
    <row r="95" spans="1:53">
      <c r="A95" s="486"/>
      <c r="B95" s="486"/>
      <c r="C95" s="486"/>
      <c r="D95" s="486"/>
      <c r="E95" s="486"/>
      <c r="F95" s="486"/>
      <c r="G95" s="486"/>
      <c r="H95" s="486"/>
      <c r="I95" s="486"/>
      <c r="J95" s="486"/>
      <c r="K95" s="486"/>
      <c r="L95" s="486"/>
      <c r="M95" s="486"/>
      <c r="N95" s="486"/>
      <c r="O95" s="486"/>
      <c r="P95" s="486"/>
      <c r="Q95" s="486"/>
      <c r="R95" s="486"/>
      <c r="S95" s="486"/>
      <c r="T95" s="486"/>
      <c r="U95" s="486"/>
      <c r="V95" s="486"/>
      <c r="W95" s="486"/>
      <c r="X95" s="486"/>
      <c r="Y95" s="486"/>
      <c r="Z95" s="486"/>
      <c r="AA95" s="486"/>
      <c r="AB95" s="486"/>
      <c r="AC95" s="486"/>
      <c r="AD95" s="486"/>
      <c r="AE95" s="486"/>
      <c r="AF95" s="486"/>
      <c r="AG95" s="486"/>
      <c r="AH95" s="486"/>
      <c r="AI95" s="486"/>
      <c r="AJ95" s="486"/>
      <c r="AK95" s="486"/>
      <c r="AL95" s="486"/>
      <c r="AM95" s="486"/>
      <c r="AN95" s="486"/>
      <c r="AO95" s="486"/>
      <c r="AP95" s="486"/>
      <c r="AQ95" s="486"/>
      <c r="AR95" s="486"/>
      <c r="AS95" s="486"/>
      <c r="AT95" s="486"/>
      <c r="AU95" s="486"/>
      <c r="AV95" s="486"/>
      <c r="AW95" s="486"/>
      <c r="AX95" s="486"/>
      <c r="AY95" s="486"/>
      <c r="AZ95" s="486"/>
      <c r="BA95" s="486"/>
    </row>
    <row r="96" spans="1:53">
      <c r="A96" s="486"/>
      <c r="B96" s="486"/>
      <c r="C96" s="486"/>
      <c r="D96" s="486"/>
      <c r="E96" s="486"/>
      <c r="F96" s="486"/>
      <c r="G96" s="486"/>
      <c r="H96" s="486"/>
      <c r="I96" s="486"/>
      <c r="J96" s="486"/>
      <c r="K96" s="486"/>
      <c r="L96" s="486"/>
      <c r="M96" s="486"/>
      <c r="N96" s="486"/>
      <c r="O96" s="486"/>
      <c r="P96" s="486"/>
      <c r="Q96" s="486"/>
      <c r="R96" s="486"/>
      <c r="S96" s="486"/>
      <c r="T96" s="486"/>
      <c r="U96" s="486"/>
      <c r="V96" s="486"/>
      <c r="W96" s="486"/>
      <c r="X96" s="486"/>
      <c r="Y96" s="486"/>
      <c r="Z96" s="486"/>
      <c r="AA96" s="486"/>
      <c r="AB96" s="486"/>
      <c r="AC96" s="486"/>
      <c r="AD96" s="486"/>
      <c r="AE96" s="486"/>
      <c r="AF96" s="486"/>
      <c r="AG96" s="486"/>
      <c r="AH96" s="486"/>
      <c r="AI96" s="486"/>
      <c r="AJ96" s="486"/>
      <c r="AK96" s="486"/>
      <c r="AL96" s="486"/>
      <c r="AM96" s="486"/>
      <c r="AN96" s="486"/>
      <c r="AO96" s="486"/>
      <c r="AP96" s="486"/>
      <c r="AQ96" s="486"/>
      <c r="AR96" s="486"/>
      <c r="AS96" s="486"/>
      <c r="AT96" s="486"/>
      <c r="AU96" s="486"/>
      <c r="AV96" s="486"/>
      <c r="AW96" s="486"/>
      <c r="AX96" s="486"/>
      <c r="AY96" s="486"/>
      <c r="AZ96" s="486"/>
      <c r="BA96" s="486"/>
    </row>
    <row r="97" spans="1:53">
      <c r="A97" s="486"/>
      <c r="B97" s="486"/>
      <c r="C97" s="486"/>
      <c r="D97" s="486"/>
      <c r="E97" s="486"/>
      <c r="F97" s="486"/>
      <c r="G97" s="486"/>
      <c r="H97" s="486"/>
      <c r="I97" s="486"/>
      <c r="J97" s="486"/>
      <c r="K97" s="486"/>
      <c r="L97" s="486"/>
      <c r="M97" s="486"/>
      <c r="N97" s="486"/>
      <c r="O97" s="486"/>
      <c r="P97" s="486"/>
      <c r="Q97" s="486"/>
      <c r="R97" s="486"/>
      <c r="S97" s="486"/>
      <c r="T97" s="486"/>
      <c r="U97" s="486"/>
      <c r="V97" s="486"/>
      <c r="W97" s="486"/>
      <c r="X97" s="486"/>
      <c r="Y97" s="486"/>
      <c r="Z97" s="486"/>
      <c r="AA97" s="486"/>
      <c r="AB97" s="486"/>
      <c r="AC97" s="486"/>
      <c r="AD97" s="486"/>
      <c r="AE97" s="486"/>
      <c r="AF97" s="486"/>
      <c r="AG97" s="486"/>
      <c r="AH97" s="486"/>
      <c r="AI97" s="486"/>
      <c r="AJ97" s="486"/>
      <c r="AK97" s="486"/>
      <c r="AL97" s="486"/>
      <c r="AM97" s="486"/>
      <c r="AN97" s="486"/>
      <c r="AO97" s="486"/>
      <c r="AP97" s="486"/>
      <c r="AQ97" s="486"/>
      <c r="AR97" s="486"/>
      <c r="AS97" s="486"/>
      <c r="AT97" s="486"/>
      <c r="AU97" s="486"/>
      <c r="AV97" s="486"/>
      <c r="AW97" s="486"/>
      <c r="AX97" s="486"/>
      <c r="AY97" s="486"/>
      <c r="AZ97" s="486"/>
      <c r="BA97" s="486"/>
    </row>
    <row r="98" spans="1:53">
      <c r="A98" s="486"/>
      <c r="B98" s="486"/>
      <c r="C98" s="486"/>
      <c r="D98" s="486"/>
      <c r="E98" s="486"/>
      <c r="F98" s="486"/>
      <c r="G98" s="486"/>
      <c r="H98" s="486"/>
      <c r="I98" s="486"/>
      <c r="J98" s="486"/>
      <c r="K98" s="486"/>
      <c r="L98" s="486"/>
      <c r="M98" s="486"/>
      <c r="N98" s="486"/>
      <c r="O98" s="486"/>
      <c r="P98" s="486"/>
      <c r="Q98" s="486"/>
      <c r="R98" s="486"/>
      <c r="S98" s="486"/>
      <c r="T98" s="486"/>
      <c r="U98" s="486"/>
      <c r="V98" s="486"/>
      <c r="W98" s="486"/>
      <c r="X98" s="486"/>
      <c r="Y98" s="486"/>
      <c r="Z98" s="486"/>
      <c r="AA98" s="486"/>
      <c r="AB98" s="486"/>
      <c r="AC98" s="486"/>
      <c r="AD98" s="486"/>
      <c r="AE98" s="486"/>
      <c r="AF98" s="486"/>
      <c r="AG98" s="486"/>
      <c r="AH98" s="486"/>
      <c r="AI98" s="486"/>
      <c r="AJ98" s="486"/>
      <c r="AK98" s="486"/>
      <c r="AL98" s="486"/>
      <c r="AM98" s="486"/>
      <c r="AN98" s="486"/>
      <c r="AO98" s="486"/>
      <c r="AP98" s="486"/>
      <c r="AQ98" s="486"/>
      <c r="AR98" s="486"/>
      <c r="AS98" s="486"/>
      <c r="AT98" s="486"/>
      <c r="AU98" s="486"/>
      <c r="AV98" s="486"/>
      <c r="AW98" s="486"/>
      <c r="AX98" s="486"/>
      <c r="AY98" s="486"/>
      <c r="AZ98" s="486"/>
      <c r="BA98" s="486"/>
    </row>
    <row r="99" spans="1:53">
      <c r="A99" s="486"/>
      <c r="B99" s="486"/>
      <c r="C99" s="486"/>
      <c r="D99" s="486"/>
      <c r="E99" s="486"/>
      <c r="F99" s="486"/>
      <c r="G99" s="486"/>
      <c r="H99" s="486"/>
      <c r="I99" s="486"/>
      <c r="J99" s="486"/>
      <c r="K99" s="486"/>
      <c r="L99" s="486"/>
      <c r="M99" s="486"/>
      <c r="N99" s="486"/>
      <c r="O99" s="486"/>
      <c r="P99" s="486"/>
      <c r="Q99" s="486"/>
      <c r="R99" s="486"/>
      <c r="S99" s="486"/>
      <c r="T99" s="486"/>
      <c r="U99" s="486"/>
      <c r="V99" s="486"/>
      <c r="W99" s="486"/>
      <c r="X99" s="486"/>
      <c r="Y99" s="486"/>
      <c r="Z99" s="486"/>
      <c r="AA99" s="486"/>
      <c r="AB99" s="486"/>
      <c r="AC99" s="486"/>
      <c r="AD99" s="486"/>
      <c r="AE99" s="486"/>
      <c r="AF99" s="486"/>
      <c r="AG99" s="486"/>
      <c r="AH99" s="486"/>
      <c r="AI99" s="486"/>
      <c r="AJ99" s="486"/>
      <c r="AK99" s="486"/>
      <c r="AL99" s="486"/>
      <c r="AM99" s="486"/>
      <c r="AN99" s="486"/>
      <c r="AO99" s="486"/>
      <c r="AP99" s="486"/>
      <c r="AQ99" s="486"/>
      <c r="AR99" s="486"/>
      <c r="AS99" s="486"/>
      <c r="AT99" s="486"/>
      <c r="AU99" s="486"/>
      <c r="AV99" s="486"/>
      <c r="AW99" s="486"/>
      <c r="AX99" s="486"/>
      <c r="AY99" s="486"/>
      <c r="AZ99" s="486"/>
      <c r="BA99" s="486"/>
    </row>
    <row r="100" spans="1:53">
      <c r="A100" s="486"/>
      <c r="B100" s="486"/>
      <c r="C100" s="486"/>
      <c r="D100" s="486"/>
      <c r="E100" s="486"/>
      <c r="F100" s="486"/>
      <c r="G100" s="486"/>
      <c r="H100" s="486"/>
      <c r="I100" s="486"/>
      <c r="J100" s="486"/>
      <c r="K100" s="486"/>
      <c r="L100" s="486"/>
      <c r="M100" s="486"/>
      <c r="N100" s="486"/>
      <c r="O100" s="486"/>
      <c r="P100" s="486"/>
      <c r="Q100" s="486"/>
      <c r="R100" s="486"/>
      <c r="S100" s="486"/>
      <c r="T100" s="486"/>
      <c r="U100" s="486"/>
      <c r="V100" s="486"/>
      <c r="W100" s="486"/>
      <c r="X100" s="486"/>
      <c r="Y100" s="486"/>
      <c r="Z100" s="486"/>
      <c r="AA100" s="486"/>
      <c r="AB100" s="486"/>
      <c r="AC100" s="486"/>
      <c r="AD100" s="486"/>
      <c r="AE100" s="486"/>
      <c r="AF100" s="486"/>
      <c r="AG100" s="486"/>
      <c r="AH100" s="486"/>
      <c r="AI100" s="486"/>
      <c r="AJ100" s="486"/>
      <c r="AK100" s="486"/>
      <c r="AL100" s="486"/>
      <c r="AM100" s="486"/>
      <c r="AN100" s="486"/>
      <c r="AO100" s="486"/>
      <c r="AP100" s="486"/>
      <c r="AQ100" s="486"/>
      <c r="AR100" s="486"/>
      <c r="AS100" s="486"/>
      <c r="AT100" s="486"/>
      <c r="AU100" s="486"/>
      <c r="AV100" s="486"/>
      <c r="AW100" s="486"/>
      <c r="AX100" s="486"/>
      <c r="AY100" s="486"/>
      <c r="AZ100" s="486"/>
      <c r="BA100" s="486"/>
    </row>
    <row r="101" spans="1:53">
      <c r="A101" s="486"/>
      <c r="B101" s="486"/>
      <c r="C101" s="486"/>
      <c r="D101" s="486"/>
      <c r="E101" s="486"/>
      <c r="F101" s="486"/>
      <c r="G101" s="486"/>
      <c r="H101" s="486"/>
      <c r="I101" s="486"/>
      <c r="J101" s="486"/>
      <c r="K101" s="486"/>
      <c r="L101" s="486"/>
      <c r="M101" s="486"/>
      <c r="N101" s="486"/>
      <c r="O101" s="486"/>
      <c r="P101" s="486"/>
      <c r="Q101" s="486"/>
      <c r="R101" s="486"/>
      <c r="S101" s="486"/>
      <c r="T101" s="486"/>
      <c r="U101" s="486"/>
      <c r="V101" s="486"/>
      <c r="W101" s="486"/>
      <c r="X101" s="486"/>
      <c r="Y101" s="486"/>
      <c r="Z101" s="486"/>
      <c r="AA101" s="486"/>
      <c r="AB101" s="486"/>
      <c r="AC101" s="486"/>
      <c r="AD101" s="486"/>
      <c r="AE101" s="486"/>
      <c r="AF101" s="486"/>
      <c r="AG101" s="486"/>
      <c r="AH101" s="486"/>
      <c r="AI101" s="486"/>
      <c r="AJ101" s="486"/>
      <c r="AK101" s="486"/>
      <c r="AL101" s="486"/>
      <c r="AM101" s="486"/>
      <c r="AN101" s="486"/>
      <c r="AO101" s="486"/>
      <c r="AP101" s="486"/>
      <c r="AQ101" s="486"/>
      <c r="AR101" s="486"/>
      <c r="AS101" s="486"/>
      <c r="AT101" s="486"/>
      <c r="AU101" s="486"/>
      <c r="AV101" s="486"/>
      <c r="AW101" s="486"/>
      <c r="AX101" s="486"/>
      <c r="AY101" s="486"/>
      <c r="AZ101" s="486"/>
      <c r="BA101" s="486"/>
    </row>
    <row r="102" spans="1:53">
      <c r="A102" s="486"/>
      <c r="B102" s="486"/>
      <c r="C102" s="486"/>
      <c r="D102" s="486"/>
      <c r="E102" s="486"/>
      <c r="F102" s="486"/>
      <c r="G102" s="486"/>
      <c r="H102" s="486"/>
      <c r="I102" s="486"/>
      <c r="J102" s="486"/>
      <c r="K102" s="486"/>
      <c r="L102" s="486"/>
      <c r="M102" s="486"/>
      <c r="N102" s="486"/>
      <c r="O102" s="486"/>
      <c r="P102" s="486"/>
      <c r="Q102" s="486"/>
      <c r="R102" s="486"/>
      <c r="S102" s="486"/>
      <c r="T102" s="486"/>
      <c r="U102" s="486"/>
      <c r="V102" s="486"/>
      <c r="W102" s="486"/>
      <c r="X102" s="486"/>
      <c r="Y102" s="486"/>
      <c r="Z102" s="486"/>
      <c r="AA102" s="486"/>
      <c r="AB102" s="486"/>
      <c r="AC102" s="486"/>
      <c r="AD102" s="486"/>
      <c r="AE102" s="486"/>
      <c r="AF102" s="486"/>
      <c r="AG102" s="486"/>
      <c r="AH102" s="486"/>
      <c r="AI102" s="486"/>
      <c r="AJ102" s="486"/>
      <c r="AK102" s="486"/>
      <c r="AL102" s="486"/>
      <c r="AM102" s="486"/>
      <c r="AN102" s="486"/>
      <c r="AO102" s="486"/>
      <c r="AP102" s="486"/>
      <c r="AQ102" s="486"/>
      <c r="AR102" s="486"/>
      <c r="AS102" s="486"/>
      <c r="AT102" s="486"/>
      <c r="AU102" s="486"/>
      <c r="AV102" s="486"/>
      <c r="AW102" s="486"/>
      <c r="AX102" s="486"/>
      <c r="AY102" s="486"/>
      <c r="AZ102" s="486"/>
      <c r="BA102" s="486"/>
    </row>
    <row r="103" spans="1:53">
      <c r="A103" s="486"/>
      <c r="B103" s="486"/>
      <c r="C103" s="486"/>
      <c r="D103" s="486"/>
      <c r="E103" s="486"/>
      <c r="F103" s="486"/>
      <c r="G103" s="486"/>
      <c r="H103" s="486"/>
      <c r="I103" s="486"/>
      <c r="J103" s="486"/>
      <c r="K103" s="486"/>
      <c r="L103" s="486"/>
      <c r="M103" s="486"/>
      <c r="N103" s="486"/>
      <c r="O103" s="486"/>
      <c r="P103" s="486"/>
      <c r="Q103" s="486"/>
      <c r="R103" s="486"/>
      <c r="S103" s="486"/>
      <c r="T103" s="486"/>
      <c r="U103" s="486"/>
      <c r="V103" s="486"/>
      <c r="W103" s="486"/>
      <c r="X103" s="486"/>
      <c r="Y103" s="486"/>
      <c r="Z103" s="486"/>
      <c r="AA103" s="486"/>
      <c r="AB103" s="486"/>
      <c r="AC103" s="486"/>
      <c r="AD103" s="486"/>
      <c r="AE103" s="486"/>
      <c r="AF103" s="486"/>
      <c r="AG103" s="486"/>
      <c r="AH103" s="486"/>
      <c r="AI103" s="486"/>
      <c r="AJ103" s="486"/>
      <c r="AK103" s="486"/>
      <c r="AL103" s="486"/>
      <c r="AM103" s="486"/>
      <c r="AN103" s="486"/>
      <c r="AO103" s="486"/>
      <c r="AP103" s="486"/>
      <c r="AQ103" s="486"/>
      <c r="AR103" s="486"/>
      <c r="AS103" s="486"/>
      <c r="AT103" s="486"/>
      <c r="AU103" s="486"/>
      <c r="AV103" s="486"/>
      <c r="AW103" s="486"/>
      <c r="AX103" s="486"/>
      <c r="AY103" s="486"/>
      <c r="AZ103" s="486"/>
      <c r="BA103" s="486"/>
    </row>
    <row r="104" spans="1:53">
      <c r="A104" s="486"/>
      <c r="B104" s="486"/>
      <c r="C104" s="486"/>
      <c r="D104" s="486"/>
      <c r="E104" s="486"/>
      <c r="F104" s="486"/>
      <c r="G104" s="486"/>
      <c r="H104" s="486"/>
      <c r="I104" s="486"/>
      <c r="J104" s="486"/>
      <c r="K104" s="486"/>
      <c r="L104" s="486"/>
      <c r="M104" s="486"/>
      <c r="N104" s="486"/>
      <c r="O104" s="486"/>
      <c r="P104" s="486"/>
      <c r="Q104" s="486"/>
      <c r="R104" s="486"/>
      <c r="S104" s="486"/>
      <c r="T104" s="486"/>
      <c r="U104" s="486"/>
      <c r="V104" s="486"/>
      <c r="W104" s="486"/>
      <c r="X104" s="486"/>
      <c r="Y104" s="486"/>
      <c r="Z104" s="486"/>
      <c r="AA104" s="486"/>
      <c r="AB104" s="486"/>
      <c r="AC104" s="486"/>
      <c r="AD104" s="486"/>
      <c r="AE104" s="486"/>
      <c r="AF104" s="486"/>
      <c r="AG104" s="486"/>
      <c r="AH104" s="486"/>
      <c r="AI104" s="486"/>
      <c r="AJ104" s="486"/>
      <c r="AK104" s="486"/>
      <c r="AL104" s="486"/>
      <c r="AM104" s="486"/>
      <c r="AN104" s="486"/>
      <c r="AO104" s="486"/>
      <c r="AP104" s="486"/>
      <c r="AQ104" s="486"/>
      <c r="AR104" s="486"/>
      <c r="AS104" s="486"/>
      <c r="AT104" s="486"/>
      <c r="AU104" s="486"/>
      <c r="AV104" s="486"/>
      <c r="AW104" s="486"/>
      <c r="AX104" s="486"/>
      <c r="AY104" s="486"/>
      <c r="AZ104" s="486"/>
      <c r="BA104" s="486"/>
    </row>
    <row r="105" spans="1:53">
      <c r="A105" s="486"/>
      <c r="B105" s="486"/>
      <c r="C105" s="486"/>
      <c r="D105" s="486"/>
      <c r="E105" s="486"/>
      <c r="F105" s="486"/>
      <c r="G105" s="486"/>
      <c r="H105" s="486"/>
      <c r="I105" s="486"/>
      <c r="J105" s="486"/>
      <c r="K105" s="486"/>
      <c r="L105" s="486"/>
      <c r="M105" s="486"/>
      <c r="N105" s="486"/>
      <c r="O105" s="486"/>
      <c r="P105" s="486"/>
      <c r="Q105" s="486"/>
      <c r="R105" s="486"/>
      <c r="S105" s="486"/>
      <c r="T105" s="486"/>
      <c r="U105" s="486"/>
      <c r="V105" s="486"/>
      <c r="W105" s="486"/>
      <c r="X105" s="486"/>
      <c r="Y105" s="486"/>
      <c r="Z105" s="486"/>
      <c r="AA105" s="486"/>
      <c r="AB105" s="486"/>
      <c r="AC105" s="486"/>
      <c r="AD105" s="486"/>
      <c r="AE105" s="486"/>
      <c r="AF105" s="486"/>
      <c r="AG105" s="486"/>
      <c r="AH105" s="486"/>
      <c r="AI105" s="486"/>
      <c r="AJ105" s="486"/>
      <c r="AK105" s="486"/>
      <c r="AL105" s="486"/>
      <c r="AM105" s="486"/>
      <c r="AN105" s="486"/>
      <c r="AO105" s="486"/>
      <c r="AP105" s="486"/>
      <c r="AQ105" s="486"/>
      <c r="AR105" s="486"/>
      <c r="AS105" s="486"/>
      <c r="AT105" s="486"/>
      <c r="AU105" s="486"/>
      <c r="AV105" s="486"/>
      <c r="AW105" s="486"/>
      <c r="AX105" s="486"/>
      <c r="AY105" s="486"/>
      <c r="AZ105" s="486"/>
      <c r="BA105" s="486"/>
    </row>
    <row r="106" spans="1:53">
      <c r="A106" s="486"/>
      <c r="B106" s="486"/>
      <c r="C106" s="486"/>
      <c r="D106" s="486"/>
      <c r="E106" s="486"/>
      <c r="F106" s="486"/>
      <c r="G106" s="486"/>
      <c r="H106" s="486"/>
      <c r="I106" s="486"/>
      <c r="J106" s="486"/>
      <c r="K106" s="486"/>
      <c r="L106" s="486"/>
      <c r="M106" s="486"/>
      <c r="N106" s="486"/>
      <c r="O106" s="486"/>
      <c r="P106" s="486"/>
      <c r="Q106" s="486"/>
      <c r="R106" s="486"/>
      <c r="S106" s="486"/>
      <c r="T106" s="486"/>
      <c r="U106" s="486"/>
      <c r="V106" s="486"/>
      <c r="W106" s="486"/>
      <c r="X106" s="486"/>
      <c r="Y106" s="486"/>
      <c r="Z106" s="486"/>
      <c r="AA106" s="486"/>
      <c r="AB106" s="486"/>
      <c r="AC106" s="486"/>
      <c r="AD106" s="486"/>
      <c r="AE106" s="486"/>
      <c r="AF106" s="486"/>
      <c r="AG106" s="486"/>
      <c r="AH106" s="486"/>
      <c r="AI106" s="486"/>
      <c r="AJ106" s="486"/>
      <c r="AK106" s="486"/>
      <c r="AL106" s="486"/>
      <c r="AM106" s="486"/>
      <c r="AN106" s="486"/>
      <c r="AO106" s="486"/>
      <c r="AP106" s="486"/>
      <c r="AQ106" s="486"/>
      <c r="AR106" s="486"/>
      <c r="AS106" s="486"/>
      <c r="AT106" s="486"/>
      <c r="AU106" s="486"/>
      <c r="AV106" s="486"/>
      <c r="AW106" s="486"/>
      <c r="AX106" s="486"/>
      <c r="AY106" s="486"/>
      <c r="AZ106" s="486"/>
      <c r="BA106" s="486"/>
    </row>
    <row r="107" spans="1:53">
      <c r="A107" s="486"/>
      <c r="B107" s="486"/>
      <c r="C107" s="486"/>
      <c r="D107" s="486"/>
      <c r="E107" s="486"/>
      <c r="F107" s="486"/>
      <c r="G107" s="486"/>
      <c r="H107" s="486"/>
      <c r="I107" s="486"/>
      <c r="J107" s="486"/>
      <c r="K107" s="486"/>
      <c r="L107" s="486"/>
      <c r="M107" s="486"/>
      <c r="N107" s="486"/>
      <c r="O107" s="486"/>
      <c r="P107" s="486"/>
      <c r="Q107" s="486"/>
      <c r="R107" s="486"/>
      <c r="S107" s="486"/>
      <c r="T107" s="486"/>
      <c r="U107" s="486"/>
      <c r="V107" s="486"/>
      <c r="W107" s="486"/>
      <c r="X107" s="486"/>
      <c r="Y107" s="486"/>
      <c r="Z107" s="486"/>
      <c r="AA107" s="486"/>
      <c r="AB107" s="486"/>
      <c r="AC107" s="486"/>
      <c r="AD107" s="486"/>
      <c r="AE107" s="486"/>
      <c r="AF107" s="486"/>
      <c r="AG107" s="486"/>
      <c r="AH107" s="486"/>
      <c r="AI107" s="486"/>
      <c r="AJ107" s="486"/>
      <c r="AK107" s="486"/>
      <c r="AL107" s="486"/>
      <c r="AM107" s="486"/>
      <c r="AN107" s="486"/>
      <c r="AO107" s="486"/>
      <c r="AP107" s="486"/>
      <c r="AQ107" s="486"/>
      <c r="AR107" s="486"/>
      <c r="AS107" s="486"/>
      <c r="AT107" s="486"/>
      <c r="AU107" s="486"/>
      <c r="AV107" s="486"/>
      <c r="AW107" s="486"/>
      <c r="AX107" s="486"/>
      <c r="AY107" s="486"/>
      <c r="AZ107" s="486"/>
      <c r="BA107" s="486"/>
    </row>
    <row r="108" spans="1:53">
      <c r="A108" s="486"/>
      <c r="B108" s="486"/>
      <c r="C108" s="486"/>
      <c r="D108" s="486"/>
      <c r="E108" s="486"/>
      <c r="F108" s="486"/>
      <c r="G108" s="486"/>
      <c r="H108" s="486"/>
      <c r="I108" s="486"/>
      <c r="J108" s="486"/>
      <c r="K108" s="486"/>
      <c r="L108" s="486"/>
      <c r="M108" s="486"/>
      <c r="N108" s="486"/>
      <c r="O108" s="486"/>
      <c r="P108" s="486"/>
      <c r="Q108" s="486"/>
      <c r="R108" s="486"/>
      <c r="S108" s="486"/>
      <c r="T108" s="486"/>
      <c r="U108" s="486"/>
      <c r="V108" s="486"/>
      <c r="W108" s="486"/>
      <c r="X108" s="486"/>
      <c r="Y108" s="486"/>
      <c r="Z108" s="486"/>
      <c r="AA108" s="486"/>
      <c r="AB108" s="486"/>
      <c r="AC108" s="486"/>
      <c r="AD108" s="486"/>
      <c r="AE108" s="486"/>
      <c r="AF108" s="486"/>
      <c r="AG108" s="486"/>
      <c r="AH108" s="486"/>
      <c r="AI108" s="486"/>
      <c r="AJ108" s="486"/>
      <c r="AK108" s="486"/>
      <c r="AL108" s="486"/>
      <c r="AM108" s="486"/>
      <c r="AN108" s="486"/>
      <c r="AO108" s="486"/>
      <c r="AP108" s="486"/>
      <c r="AQ108" s="486"/>
      <c r="AR108" s="486"/>
      <c r="AS108" s="486"/>
      <c r="AT108" s="486"/>
      <c r="AU108" s="486"/>
      <c r="AV108" s="486"/>
      <c r="AW108" s="486"/>
      <c r="AX108" s="486"/>
      <c r="AY108" s="486"/>
      <c r="AZ108" s="486"/>
      <c r="BA108" s="486"/>
    </row>
    <row r="109" spans="1:53">
      <c r="A109" s="486"/>
      <c r="B109" s="486"/>
      <c r="C109" s="486"/>
      <c r="D109" s="486"/>
      <c r="E109" s="486"/>
      <c r="F109" s="486"/>
      <c r="G109" s="486"/>
      <c r="H109" s="486"/>
      <c r="I109" s="486"/>
      <c r="J109" s="486"/>
      <c r="K109" s="486"/>
      <c r="L109" s="486"/>
      <c r="M109" s="486"/>
      <c r="N109" s="486"/>
      <c r="O109" s="486"/>
      <c r="P109" s="486"/>
      <c r="Q109" s="486"/>
      <c r="R109" s="486"/>
      <c r="S109" s="486"/>
      <c r="T109" s="486"/>
      <c r="U109" s="486"/>
      <c r="V109" s="486"/>
      <c r="W109" s="486"/>
      <c r="X109" s="486"/>
      <c r="Y109" s="486"/>
      <c r="Z109" s="486"/>
      <c r="AA109" s="486"/>
      <c r="AB109" s="486"/>
      <c r="AC109" s="486"/>
      <c r="AD109" s="486"/>
      <c r="AE109" s="486"/>
      <c r="AF109" s="486"/>
      <c r="AG109" s="486"/>
      <c r="AH109" s="486"/>
      <c r="AI109" s="486"/>
      <c r="AJ109" s="486"/>
      <c r="AK109" s="486"/>
      <c r="AL109" s="486"/>
      <c r="AM109" s="486"/>
      <c r="AN109" s="486"/>
      <c r="AO109" s="486"/>
      <c r="AP109" s="486"/>
      <c r="AQ109" s="486"/>
      <c r="AR109" s="486"/>
      <c r="AS109" s="486"/>
      <c r="AT109" s="486"/>
      <c r="AU109" s="486"/>
      <c r="AV109" s="486"/>
      <c r="AW109" s="486"/>
      <c r="AX109" s="486"/>
      <c r="AY109" s="486"/>
      <c r="AZ109" s="486"/>
      <c r="BA109" s="486"/>
    </row>
    <row r="110" spans="1:53">
      <c r="A110" s="486"/>
      <c r="B110" s="486"/>
      <c r="C110" s="486"/>
      <c r="D110" s="486"/>
      <c r="E110" s="486"/>
      <c r="F110" s="486"/>
      <c r="G110" s="486"/>
      <c r="H110" s="486"/>
      <c r="I110" s="486"/>
      <c r="J110" s="486"/>
      <c r="K110" s="486"/>
      <c r="L110" s="486"/>
      <c r="M110" s="486"/>
      <c r="N110" s="486"/>
      <c r="O110" s="486"/>
      <c r="P110" s="486"/>
      <c r="Q110" s="486"/>
      <c r="R110" s="486"/>
      <c r="S110" s="486"/>
      <c r="T110" s="486"/>
      <c r="U110" s="486"/>
      <c r="V110" s="486"/>
      <c r="W110" s="486"/>
      <c r="X110" s="486"/>
      <c r="Y110" s="486"/>
      <c r="Z110" s="486"/>
      <c r="AA110" s="486"/>
      <c r="AB110" s="486"/>
      <c r="AC110" s="486"/>
      <c r="AD110" s="486"/>
      <c r="AE110" s="486"/>
      <c r="AF110" s="486"/>
      <c r="AG110" s="486"/>
      <c r="AH110" s="486"/>
      <c r="AI110" s="486"/>
      <c r="AJ110" s="486"/>
      <c r="AK110" s="486"/>
      <c r="AL110" s="486"/>
      <c r="AM110" s="486"/>
      <c r="AN110" s="486"/>
      <c r="AO110" s="486"/>
      <c r="AP110" s="486"/>
      <c r="AQ110" s="486"/>
      <c r="AR110" s="486"/>
      <c r="AS110" s="486"/>
      <c r="AT110" s="486"/>
      <c r="AU110" s="486"/>
      <c r="AV110" s="486"/>
      <c r="AW110" s="486"/>
      <c r="AX110" s="486"/>
      <c r="AY110" s="486"/>
      <c r="AZ110" s="486"/>
      <c r="BA110" s="486"/>
    </row>
    <row r="111" spans="1:53">
      <c r="A111" s="486"/>
      <c r="B111" s="486"/>
      <c r="C111" s="486"/>
      <c r="D111" s="486"/>
      <c r="E111" s="486"/>
      <c r="F111" s="486"/>
      <c r="G111" s="486"/>
      <c r="H111" s="486"/>
      <c r="I111" s="486"/>
      <c r="J111" s="486"/>
      <c r="K111" s="486"/>
      <c r="L111" s="486"/>
      <c r="M111" s="486"/>
      <c r="N111" s="486"/>
      <c r="O111" s="486"/>
      <c r="P111" s="486"/>
      <c r="Q111" s="486"/>
      <c r="R111" s="486"/>
      <c r="S111" s="486"/>
      <c r="T111" s="486"/>
      <c r="U111" s="486"/>
      <c r="V111" s="486"/>
      <c r="W111" s="486"/>
      <c r="X111" s="486"/>
      <c r="Y111" s="486"/>
      <c r="Z111" s="486"/>
      <c r="AA111" s="486"/>
      <c r="AB111" s="486"/>
      <c r="AC111" s="486"/>
      <c r="AD111" s="486"/>
      <c r="AE111" s="486"/>
      <c r="AF111" s="486"/>
      <c r="AG111" s="486"/>
      <c r="AH111" s="486"/>
      <c r="AI111" s="486"/>
      <c r="AJ111" s="486"/>
      <c r="AK111" s="486"/>
      <c r="AL111" s="486"/>
      <c r="AM111" s="486"/>
      <c r="AN111" s="486"/>
      <c r="AO111" s="486"/>
      <c r="AP111" s="486"/>
      <c r="AQ111" s="486"/>
      <c r="AR111" s="486"/>
      <c r="AS111" s="486"/>
      <c r="AT111" s="486"/>
      <c r="AU111" s="486"/>
      <c r="AV111" s="486"/>
      <c r="AW111" s="486"/>
      <c r="AX111" s="486"/>
      <c r="AY111" s="486"/>
      <c r="AZ111" s="486"/>
      <c r="BA111" s="486"/>
    </row>
    <row r="112" spans="1:53">
      <c r="A112" s="486"/>
      <c r="B112" s="486"/>
      <c r="C112" s="486"/>
      <c r="D112" s="486"/>
      <c r="E112" s="486"/>
      <c r="F112" s="486"/>
      <c r="G112" s="486"/>
      <c r="H112" s="486"/>
      <c r="I112" s="486"/>
      <c r="J112" s="486"/>
      <c r="K112" s="486"/>
      <c r="L112" s="486"/>
      <c r="M112" s="486"/>
      <c r="N112" s="486"/>
      <c r="O112" s="486"/>
      <c r="P112" s="486"/>
      <c r="Q112" s="486"/>
      <c r="R112" s="486"/>
      <c r="S112" s="486"/>
      <c r="T112" s="486"/>
      <c r="U112" s="486"/>
      <c r="V112" s="486"/>
      <c r="W112" s="486"/>
      <c r="X112" s="486"/>
      <c r="Y112" s="486"/>
      <c r="Z112" s="486"/>
      <c r="AA112" s="486"/>
      <c r="AB112" s="486"/>
      <c r="AC112" s="486"/>
      <c r="AD112" s="486"/>
      <c r="AE112" s="486"/>
      <c r="AF112" s="486"/>
      <c r="AG112" s="486"/>
      <c r="AH112" s="486"/>
      <c r="AI112" s="486"/>
      <c r="AJ112" s="486"/>
      <c r="AK112" s="486"/>
      <c r="AL112" s="486"/>
      <c r="AM112" s="486"/>
      <c r="AN112" s="486"/>
      <c r="AO112" s="486"/>
      <c r="AP112" s="486"/>
      <c r="AQ112" s="486"/>
      <c r="AR112" s="486"/>
      <c r="AS112" s="486"/>
      <c r="AT112" s="486"/>
      <c r="AU112" s="486"/>
      <c r="AV112" s="486"/>
      <c r="AW112" s="486"/>
      <c r="AX112" s="486"/>
      <c r="AY112" s="486"/>
      <c r="AZ112" s="486"/>
      <c r="BA112" s="486"/>
    </row>
    <row r="113" spans="1:53">
      <c r="A113" s="486"/>
      <c r="B113" s="486"/>
      <c r="C113" s="486"/>
      <c r="D113" s="486"/>
      <c r="E113" s="486"/>
      <c r="F113" s="486"/>
      <c r="G113" s="486"/>
      <c r="H113" s="486"/>
      <c r="I113" s="486"/>
      <c r="J113" s="486"/>
      <c r="K113" s="486"/>
      <c r="L113" s="486"/>
      <c r="M113" s="486"/>
      <c r="N113" s="486"/>
      <c r="O113" s="486"/>
      <c r="P113" s="486"/>
      <c r="Q113" s="486"/>
      <c r="R113" s="486"/>
      <c r="S113" s="486"/>
      <c r="T113" s="486"/>
      <c r="U113" s="486"/>
      <c r="V113" s="486"/>
      <c r="W113" s="486"/>
      <c r="X113" s="486"/>
      <c r="Y113" s="486"/>
      <c r="Z113" s="486"/>
      <c r="AA113" s="486"/>
      <c r="AB113" s="486"/>
      <c r="AC113" s="486"/>
      <c r="AD113" s="486"/>
      <c r="AE113" s="486"/>
      <c r="AF113" s="486"/>
      <c r="AG113" s="486"/>
      <c r="AH113" s="486"/>
      <c r="AI113" s="486"/>
      <c r="AJ113" s="486"/>
      <c r="AK113" s="486"/>
      <c r="AL113" s="486"/>
      <c r="AM113" s="486"/>
      <c r="AN113" s="486"/>
      <c r="AO113" s="486"/>
      <c r="AP113" s="486"/>
      <c r="AQ113" s="486"/>
      <c r="AR113" s="486"/>
      <c r="AS113" s="486"/>
      <c r="AT113" s="486"/>
      <c r="AU113" s="486"/>
      <c r="AV113" s="486"/>
      <c r="AW113" s="486"/>
      <c r="AX113" s="486"/>
      <c r="AY113" s="486"/>
      <c r="AZ113" s="486"/>
      <c r="BA113" s="486"/>
    </row>
    <row r="114" spans="1:53">
      <c r="A114" s="486"/>
      <c r="B114" s="486"/>
      <c r="C114" s="486"/>
      <c r="D114" s="486"/>
      <c r="E114" s="486"/>
      <c r="F114" s="486"/>
      <c r="G114" s="486"/>
      <c r="H114" s="486"/>
      <c r="I114" s="486"/>
      <c r="J114" s="486"/>
      <c r="K114" s="486"/>
      <c r="L114" s="486"/>
      <c r="M114" s="486"/>
      <c r="N114" s="486"/>
      <c r="O114" s="486"/>
      <c r="P114" s="486"/>
      <c r="Q114" s="486"/>
      <c r="R114" s="486"/>
      <c r="S114" s="486"/>
      <c r="T114" s="486"/>
      <c r="U114" s="486"/>
      <c r="V114" s="486"/>
      <c r="W114" s="486"/>
      <c r="X114" s="486"/>
      <c r="Y114" s="486"/>
      <c r="Z114" s="486"/>
      <c r="AA114" s="486"/>
      <c r="AB114" s="486"/>
      <c r="AC114" s="486"/>
      <c r="AD114" s="486"/>
      <c r="AE114" s="486"/>
      <c r="AF114" s="486"/>
      <c r="AG114" s="486"/>
      <c r="AH114" s="486"/>
      <c r="AI114" s="486"/>
      <c r="AJ114" s="486"/>
      <c r="AK114" s="486"/>
      <c r="AL114" s="486"/>
      <c r="AM114" s="486"/>
      <c r="AN114" s="486"/>
      <c r="AO114" s="486"/>
      <c r="AP114" s="486"/>
      <c r="AQ114" s="486"/>
      <c r="AR114" s="486"/>
      <c r="AS114" s="486"/>
      <c r="AT114" s="486"/>
      <c r="AU114" s="486"/>
      <c r="AV114" s="486"/>
      <c r="AW114" s="486"/>
      <c r="AX114" s="486"/>
      <c r="AY114" s="486"/>
      <c r="AZ114" s="486"/>
      <c r="BA114" s="486"/>
    </row>
    <row r="115" spans="1:53">
      <c r="A115" s="486"/>
      <c r="B115" s="486"/>
      <c r="C115" s="486"/>
      <c r="D115" s="486"/>
      <c r="E115" s="486"/>
      <c r="F115" s="486"/>
      <c r="G115" s="486"/>
      <c r="H115" s="486"/>
      <c r="I115" s="486"/>
      <c r="J115" s="486"/>
      <c r="K115" s="486"/>
      <c r="L115" s="486"/>
      <c r="M115" s="486"/>
      <c r="N115" s="486"/>
      <c r="O115" s="486"/>
      <c r="P115" s="486"/>
      <c r="Q115" s="486"/>
      <c r="R115" s="486"/>
      <c r="S115" s="486"/>
      <c r="T115" s="486"/>
      <c r="U115" s="486"/>
      <c r="V115" s="486"/>
      <c r="W115" s="486"/>
      <c r="X115" s="486"/>
      <c r="Y115" s="486"/>
      <c r="Z115" s="486"/>
      <c r="AA115" s="486"/>
      <c r="AB115" s="486"/>
      <c r="AC115" s="486"/>
      <c r="AD115" s="486"/>
      <c r="AE115" s="486"/>
      <c r="AF115" s="486"/>
      <c r="AG115" s="486"/>
      <c r="AH115" s="486"/>
      <c r="AI115" s="486"/>
      <c r="AJ115" s="486"/>
      <c r="AK115" s="486"/>
      <c r="AL115" s="486"/>
      <c r="AM115" s="486"/>
      <c r="AN115" s="486"/>
      <c r="AO115" s="486"/>
      <c r="AP115" s="486"/>
      <c r="AQ115" s="486"/>
      <c r="AR115" s="486"/>
      <c r="AS115" s="486"/>
      <c r="AT115" s="486"/>
      <c r="AU115" s="486"/>
      <c r="AV115" s="486"/>
      <c r="AW115" s="486"/>
      <c r="AX115" s="486"/>
      <c r="AY115" s="486"/>
      <c r="AZ115" s="486"/>
      <c r="BA115" s="486"/>
    </row>
    <row r="116" spans="1:53">
      <c r="A116" s="486"/>
      <c r="B116" s="486"/>
      <c r="C116" s="486"/>
      <c r="D116" s="486"/>
      <c r="E116" s="486"/>
      <c r="F116" s="486"/>
      <c r="G116" s="486"/>
      <c r="H116" s="486"/>
      <c r="I116" s="486"/>
      <c r="J116" s="486"/>
      <c r="K116" s="486"/>
      <c r="L116" s="486"/>
      <c r="M116" s="486"/>
      <c r="N116" s="486"/>
      <c r="O116" s="486"/>
      <c r="P116" s="486"/>
      <c r="Q116" s="486"/>
      <c r="R116" s="486"/>
      <c r="S116" s="486"/>
      <c r="T116" s="486"/>
      <c r="U116" s="486"/>
      <c r="V116" s="486"/>
      <c r="W116" s="486"/>
      <c r="X116" s="486"/>
      <c r="Y116" s="486"/>
      <c r="Z116" s="486"/>
      <c r="AA116" s="486"/>
      <c r="AB116" s="486"/>
      <c r="AC116" s="486"/>
      <c r="AD116" s="486"/>
      <c r="AE116" s="486"/>
      <c r="AF116" s="486"/>
      <c r="AG116" s="486"/>
      <c r="AH116" s="486"/>
      <c r="AI116" s="486"/>
      <c r="AJ116" s="486"/>
      <c r="AK116" s="486"/>
      <c r="AL116" s="486"/>
      <c r="AM116" s="486"/>
      <c r="AN116" s="486"/>
      <c r="AO116" s="486"/>
      <c r="AP116" s="486"/>
      <c r="AQ116" s="486"/>
      <c r="AR116" s="486"/>
      <c r="AS116" s="486"/>
      <c r="AT116" s="486"/>
      <c r="AU116" s="486"/>
      <c r="AV116" s="486"/>
      <c r="AW116" s="486"/>
      <c r="AX116" s="486"/>
      <c r="AY116" s="486"/>
      <c r="AZ116" s="486"/>
      <c r="BA116" s="486"/>
    </row>
    <row r="117" spans="1:53">
      <c r="A117" s="486"/>
      <c r="B117" s="486"/>
      <c r="C117" s="486"/>
      <c r="D117" s="486"/>
      <c r="E117" s="486"/>
      <c r="F117" s="486"/>
      <c r="G117" s="486"/>
      <c r="H117" s="486"/>
      <c r="I117" s="486"/>
      <c r="J117" s="486"/>
      <c r="K117" s="486"/>
      <c r="L117" s="486"/>
      <c r="M117" s="486"/>
      <c r="N117" s="486"/>
      <c r="O117" s="486"/>
      <c r="P117" s="486"/>
      <c r="Q117" s="486"/>
      <c r="R117" s="486"/>
      <c r="S117" s="486"/>
      <c r="T117" s="486"/>
      <c r="U117" s="486"/>
      <c r="V117" s="486"/>
      <c r="W117" s="486"/>
      <c r="X117" s="486"/>
      <c r="Y117" s="486"/>
      <c r="Z117" s="486"/>
      <c r="AA117" s="486"/>
      <c r="AB117" s="486"/>
      <c r="AC117" s="486"/>
      <c r="AD117" s="486"/>
      <c r="AE117" s="486"/>
      <c r="AF117" s="486"/>
      <c r="AG117" s="486"/>
      <c r="AH117" s="486"/>
      <c r="AI117" s="486"/>
      <c r="AJ117" s="486"/>
      <c r="AK117" s="486"/>
      <c r="AL117" s="486"/>
      <c r="AM117" s="486"/>
      <c r="AN117" s="486"/>
      <c r="AO117" s="486"/>
      <c r="AP117" s="486"/>
      <c r="AQ117" s="486"/>
      <c r="AR117" s="486"/>
      <c r="AS117" s="486"/>
      <c r="AT117" s="486"/>
      <c r="AU117" s="486"/>
      <c r="AV117" s="486"/>
      <c r="AW117" s="486"/>
      <c r="AX117" s="486"/>
      <c r="AY117" s="486"/>
      <c r="AZ117" s="486"/>
      <c r="BA117" s="486"/>
    </row>
    <row r="118" spans="1:53">
      <c r="A118" s="486"/>
      <c r="B118" s="486"/>
      <c r="C118" s="486"/>
      <c r="D118" s="486"/>
      <c r="E118" s="486"/>
      <c r="F118" s="486"/>
      <c r="G118" s="486"/>
      <c r="H118" s="486"/>
      <c r="I118" s="486"/>
      <c r="J118" s="486"/>
      <c r="K118" s="486"/>
      <c r="L118" s="486"/>
      <c r="M118" s="486"/>
      <c r="N118" s="486"/>
      <c r="O118" s="486"/>
      <c r="P118" s="486"/>
      <c r="Q118" s="486"/>
      <c r="R118" s="486"/>
      <c r="S118" s="486"/>
      <c r="T118" s="486"/>
      <c r="U118" s="486"/>
      <c r="V118" s="486"/>
      <c r="W118" s="486"/>
      <c r="X118" s="486"/>
      <c r="Y118" s="486"/>
      <c r="Z118" s="486"/>
      <c r="AA118" s="486"/>
      <c r="AB118" s="486"/>
      <c r="AC118" s="486"/>
      <c r="AD118" s="486"/>
      <c r="AE118" s="486"/>
      <c r="AF118" s="486"/>
      <c r="AG118" s="486"/>
      <c r="AH118" s="486"/>
      <c r="AI118" s="486"/>
      <c r="AJ118" s="486"/>
      <c r="AK118" s="486"/>
      <c r="AL118" s="486"/>
      <c r="AM118" s="486"/>
      <c r="AN118" s="486"/>
      <c r="AO118" s="486"/>
      <c r="AP118" s="486"/>
      <c r="AQ118" s="486"/>
      <c r="AR118" s="486"/>
      <c r="AS118" s="486"/>
      <c r="AT118" s="486"/>
      <c r="AU118" s="486"/>
      <c r="AV118" s="486"/>
      <c r="AW118" s="486"/>
      <c r="AX118" s="486"/>
      <c r="AY118" s="486"/>
      <c r="AZ118" s="486"/>
      <c r="BA118" s="486"/>
    </row>
    <row r="119" spans="1:53">
      <c r="A119" s="486"/>
      <c r="B119" s="486"/>
      <c r="C119" s="486"/>
      <c r="D119" s="486"/>
      <c r="E119" s="486"/>
      <c r="F119" s="486"/>
      <c r="G119" s="486"/>
      <c r="H119" s="486"/>
      <c r="I119" s="486"/>
      <c r="J119" s="486"/>
      <c r="K119" s="486"/>
      <c r="L119" s="486"/>
      <c r="M119" s="486"/>
      <c r="N119" s="486"/>
      <c r="O119" s="486"/>
      <c r="P119" s="486"/>
      <c r="Q119" s="486"/>
      <c r="R119" s="486"/>
      <c r="S119" s="486"/>
      <c r="T119" s="486"/>
      <c r="U119" s="486"/>
      <c r="V119" s="486"/>
      <c r="W119" s="486"/>
      <c r="X119" s="486"/>
      <c r="Y119" s="486"/>
      <c r="Z119" s="486"/>
      <c r="AA119" s="486"/>
      <c r="AB119" s="486"/>
      <c r="AC119" s="486"/>
      <c r="AD119" s="486"/>
      <c r="AE119" s="486"/>
      <c r="AF119" s="486"/>
      <c r="AG119" s="486"/>
      <c r="AH119" s="486"/>
      <c r="AI119" s="486"/>
      <c r="AJ119" s="486"/>
      <c r="AK119" s="486"/>
      <c r="AL119" s="486"/>
      <c r="AM119" s="486"/>
      <c r="AN119" s="486"/>
      <c r="AO119" s="486"/>
      <c r="AP119" s="486"/>
      <c r="AQ119" s="486"/>
      <c r="AR119" s="486"/>
      <c r="AS119" s="486"/>
      <c r="AT119" s="486"/>
      <c r="AU119" s="486"/>
      <c r="AV119" s="486"/>
      <c r="AW119" s="486"/>
      <c r="AX119" s="486"/>
      <c r="AY119" s="486"/>
      <c r="AZ119" s="486"/>
      <c r="BA119" s="486"/>
    </row>
    <row r="120" spans="1:53">
      <c r="A120" s="486"/>
      <c r="B120" s="486"/>
      <c r="C120" s="486"/>
      <c r="D120" s="486"/>
      <c r="E120" s="486"/>
      <c r="F120" s="486"/>
      <c r="G120" s="486"/>
      <c r="H120" s="486"/>
      <c r="I120" s="486"/>
      <c r="J120" s="486"/>
      <c r="K120" s="486"/>
      <c r="L120" s="486"/>
      <c r="M120" s="486"/>
      <c r="N120" s="486"/>
      <c r="O120" s="486"/>
      <c r="P120" s="486"/>
      <c r="Q120" s="486"/>
      <c r="R120" s="486"/>
      <c r="S120" s="486"/>
      <c r="T120" s="486"/>
      <c r="U120" s="486"/>
      <c r="V120" s="486"/>
      <c r="W120" s="486"/>
      <c r="X120" s="486"/>
      <c r="Y120" s="486"/>
      <c r="Z120" s="486"/>
      <c r="AA120" s="486"/>
      <c r="AB120" s="486"/>
      <c r="AC120" s="486"/>
      <c r="AD120" s="486"/>
      <c r="AE120" s="486"/>
      <c r="AF120" s="486"/>
      <c r="AG120" s="486"/>
      <c r="AH120" s="486"/>
      <c r="AI120" s="486"/>
      <c r="AJ120" s="486"/>
      <c r="AK120" s="486"/>
      <c r="AL120" s="486"/>
      <c r="AM120" s="486"/>
      <c r="AN120" s="486"/>
      <c r="AO120" s="486"/>
      <c r="AP120" s="486"/>
      <c r="AQ120" s="486"/>
      <c r="AR120" s="486"/>
      <c r="AS120" s="486"/>
      <c r="AT120" s="486"/>
      <c r="AU120" s="486"/>
      <c r="AV120" s="486"/>
      <c r="AW120" s="486"/>
      <c r="AX120" s="486"/>
      <c r="AY120" s="486"/>
      <c r="AZ120" s="486"/>
      <c r="BA120" s="486"/>
    </row>
    <row r="121" spans="1:53">
      <c r="A121" s="486"/>
      <c r="B121" s="486"/>
      <c r="C121" s="486"/>
      <c r="D121" s="486"/>
      <c r="E121" s="486"/>
      <c r="F121" s="486"/>
      <c r="G121" s="486"/>
      <c r="H121" s="486"/>
      <c r="I121" s="486"/>
      <c r="J121" s="486"/>
      <c r="K121" s="486"/>
      <c r="L121" s="486"/>
      <c r="M121" s="486"/>
      <c r="N121" s="486"/>
      <c r="O121" s="486"/>
      <c r="P121" s="486"/>
      <c r="Q121" s="486"/>
      <c r="R121" s="486"/>
      <c r="S121" s="486"/>
      <c r="T121" s="486"/>
      <c r="U121" s="486"/>
      <c r="V121" s="486"/>
      <c r="W121" s="486"/>
      <c r="X121" s="486"/>
      <c r="Y121" s="486"/>
      <c r="Z121" s="486"/>
      <c r="AA121" s="486"/>
      <c r="AB121" s="486"/>
      <c r="AC121" s="486"/>
      <c r="AD121" s="486"/>
      <c r="AE121" s="486"/>
      <c r="AF121" s="486"/>
      <c r="AG121" s="486"/>
      <c r="AH121" s="486"/>
      <c r="AI121" s="486"/>
      <c r="AJ121" s="486"/>
      <c r="AK121" s="486"/>
      <c r="AL121" s="486"/>
      <c r="AM121" s="486"/>
      <c r="AN121" s="486"/>
      <c r="AO121" s="486"/>
      <c r="AP121" s="486"/>
      <c r="AQ121" s="486"/>
      <c r="AR121" s="486"/>
      <c r="AS121" s="486"/>
      <c r="AT121" s="486"/>
      <c r="AU121" s="486"/>
      <c r="AV121" s="486"/>
      <c r="AW121" s="486"/>
      <c r="AX121" s="486"/>
      <c r="AY121" s="486"/>
      <c r="AZ121" s="486"/>
      <c r="BA121" s="486"/>
    </row>
    <row r="122" spans="1:53">
      <c r="A122" s="486"/>
      <c r="B122" s="486"/>
      <c r="C122" s="486"/>
      <c r="D122" s="486"/>
      <c r="E122" s="486"/>
      <c r="F122" s="486"/>
      <c r="G122" s="486"/>
      <c r="H122" s="486"/>
      <c r="I122" s="486"/>
      <c r="J122" s="486"/>
      <c r="K122" s="486"/>
      <c r="L122" s="486"/>
      <c r="M122" s="486"/>
      <c r="N122" s="486"/>
      <c r="O122" s="486"/>
      <c r="P122" s="486"/>
      <c r="Q122" s="486"/>
      <c r="R122" s="486"/>
      <c r="S122" s="486"/>
      <c r="T122" s="486"/>
      <c r="U122" s="486"/>
      <c r="V122" s="486"/>
      <c r="W122" s="486"/>
      <c r="X122" s="486"/>
      <c r="Y122" s="486"/>
      <c r="Z122" s="486"/>
      <c r="AA122" s="486"/>
      <c r="AB122" s="486"/>
      <c r="AC122" s="486"/>
      <c r="AD122" s="486"/>
      <c r="AE122" s="486"/>
      <c r="AF122" s="486"/>
      <c r="AG122" s="486"/>
      <c r="AH122" s="486"/>
      <c r="AI122" s="486"/>
      <c r="AJ122" s="486"/>
      <c r="AK122" s="486"/>
      <c r="AL122" s="486"/>
      <c r="AM122" s="486"/>
      <c r="AN122" s="486"/>
      <c r="AO122" s="486"/>
      <c r="AP122" s="486"/>
      <c r="AQ122" s="486"/>
      <c r="AR122" s="486"/>
      <c r="AS122" s="486"/>
      <c r="AT122" s="486"/>
      <c r="AU122" s="486"/>
      <c r="AV122" s="486"/>
      <c r="AW122" s="486"/>
      <c r="AX122" s="486"/>
      <c r="AY122" s="486"/>
      <c r="AZ122" s="486"/>
      <c r="BA122" s="486"/>
    </row>
    <row r="123" spans="1:53">
      <c r="A123" s="486"/>
      <c r="B123" s="486"/>
      <c r="C123" s="486"/>
      <c r="D123" s="486"/>
      <c r="E123" s="486"/>
      <c r="F123" s="486"/>
      <c r="G123" s="486"/>
      <c r="H123" s="486"/>
      <c r="I123" s="486"/>
      <c r="J123" s="486"/>
      <c r="K123" s="486"/>
      <c r="L123" s="486"/>
      <c r="M123" s="486"/>
      <c r="N123" s="486"/>
      <c r="O123" s="486"/>
      <c r="P123" s="486"/>
      <c r="Q123" s="486"/>
      <c r="R123" s="486"/>
      <c r="S123" s="486"/>
      <c r="T123" s="486"/>
      <c r="U123" s="486"/>
      <c r="V123" s="486"/>
      <c r="W123" s="486"/>
      <c r="X123" s="486"/>
      <c r="Y123" s="486"/>
      <c r="Z123" s="486"/>
      <c r="AA123" s="486"/>
      <c r="AB123" s="486"/>
      <c r="AC123" s="486"/>
      <c r="AD123" s="486"/>
      <c r="AE123" s="486"/>
      <c r="AF123" s="486"/>
      <c r="AG123" s="486"/>
      <c r="AH123" s="486"/>
      <c r="AI123" s="486"/>
      <c r="AJ123" s="486"/>
      <c r="AK123" s="486"/>
      <c r="AL123" s="486"/>
      <c r="AM123" s="486"/>
      <c r="AN123" s="486"/>
      <c r="AO123" s="486"/>
      <c r="AP123" s="486"/>
      <c r="AQ123" s="486"/>
      <c r="AR123" s="486"/>
      <c r="AS123" s="486"/>
      <c r="AT123" s="486"/>
      <c r="AU123" s="486"/>
      <c r="AV123" s="486"/>
      <c r="AW123" s="486"/>
      <c r="AX123" s="486"/>
      <c r="AY123" s="486"/>
      <c r="AZ123" s="486"/>
      <c r="BA123" s="486"/>
    </row>
    <row r="124" spans="1:53">
      <c r="A124" s="486"/>
      <c r="B124" s="486"/>
      <c r="C124" s="486"/>
      <c r="D124" s="486"/>
      <c r="E124" s="486"/>
      <c r="F124" s="486"/>
      <c r="G124" s="486"/>
      <c r="H124" s="486"/>
      <c r="I124" s="486"/>
      <c r="J124" s="486"/>
      <c r="K124" s="486"/>
      <c r="L124" s="486"/>
      <c r="M124" s="486"/>
      <c r="N124" s="486"/>
      <c r="O124" s="486"/>
      <c r="P124" s="486"/>
      <c r="Q124" s="486"/>
      <c r="R124" s="486"/>
      <c r="S124" s="486"/>
      <c r="T124" s="486"/>
      <c r="U124" s="486"/>
      <c r="V124" s="486"/>
      <c r="W124" s="486"/>
      <c r="X124" s="486"/>
      <c r="Y124" s="486"/>
      <c r="Z124" s="486"/>
      <c r="AA124" s="486"/>
      <c r="AB124" s="486"/>
      <c r="AC124" s="486"/>
      <c r="AD124" s="486"/>
      <c r="AE124" s="486"/>
      <c r="AF124" s="486"/>
      <c r="AG124" s="486"/>
      <c r="AH124" s="486"/>
      <c r="AI124" s="486"/>
      <c r="AJ124" s="486"/>
      <c r="AK124" s="486"/>
      <c r="AL124" s="486"/>
      <c r="AM124" s="486"/>
      <c r="AN124" s="486"/>
      <c r="AO124" s="486"/>
      <c r="AP124" s="486"/>
      <c r="AQ124" s="486"/>
      <c r="AR124" s="486"/>
      <c r="AS124" s="486"/>
      <c r="AT124" s="486"/>
      <c r="AU124" s="486"/>
      <c r="AV124" s="486"/>
      <c r="AW124" s="486"/>
      <c r="AX124" s="486"/>
      <c r="AY124" s="486"/>
      <c r="AZ124" s="486"/>
      <c r="BA124" s="486"/>
    </row>
    <row r="125" spans="1:53">
      <c r="A125" s="486"/>
      <c r="B125" s="486"/>
      <c r="C125" s="486"/>
      <c r="D125" s="486"/>
      <c r="E125" s="486"/>
      <c r="F125" s="486"/>
      <c r="G125" s="486"/>
      <c r="H125" s="486"/>
      <c r="I125" s="486"/>
      <c r="J125" s="486"/>
      <c r="K125" s="486"/>
      <c r="L125" s="486"/>
      <c r="M125" s="486"/>
      <c r="N125" s="486"/>
      <c r="O125" s="486"/>
      <c r="P125" s="486"/>
      <c r="Q125" s="486"/>
      <c r="R125" s="486"/>
      <c r="S125" s="486"/>
      <c r="T125" s="486"/>
      <c r="U125" s="486"/>
      <c r="V125" s="486"/>
      <c r="W125" s="486"/>
      <c r="X125" s="486"/>
      <c r="Y125" s="486"/>
      <c r="Z125" s="486"/>
      <c r="AA125" s="486"/>
      <c r="AB125" s="486"/>
      <c r="AC125" s="486"/>
      <c r="AD125" s="486"/>
      <c r="AE125" s="486"/>
      <c r="AF125" s="486"/>
      <c r="AG125" s="486"/>
      <c r="AH125" s="486"/>
      <c r="AI125" s="486"/>
      <c r="AJ125" s="486"/>
      <c r="AK125" s="486"/>
      <c r="AL125" s="486"/>
      <c r="AM125" s="486"/>
      <c r="AN125" s="486"/>
      <c r="AO125" s="486"/>
      <c r="AP125" s="486"/>
      <c r="AQ125" s="486"/>
      <c r="AR125" s="486"/>
      <c r="AS125" s="486"/>
      <c r="AT125" s="486"/>
      <c r="AU125" s="486"/>
      <c r="AV125" s="486"/>
      <c r="AW125" s="486"/>
      <c r="AX125" s="486"/>
      <c r="AY125" s="486"/>
      <c r="AZ125" s="486"/>
      <c r="BA125" s="486"/>
    </row>
    <row r="126" spans="1:53">
      <c r="A126" s="486"/>
      <c r="B126" s="486"/>
      <c r="C126" s="486"/>
      <c r="D126" s="486"/>
      <c r="E126" s="486"/>
      <c r="F126" s="486"/>
      <c r="G126" s="486"/>
      <c r="H126" s="486"/>
      <c r="I126" s="486"/>
      <c r="J126" s="486"/>
      <c r="K126" s="486"/>
      <c r="L126" s="486"/>
      <c r="M126" s="486"/>
      <c r="N126" s="486"/>
      <c r="O126" s="486"/>
      <c r="P126" s="486"/>
      <c r="Q126" s="486"/>
      <c r="R126" s="486"/>
      <c r="S126" s="486"/>
      <c r="T126" s="486"/>
      <c r="U126" s="486"/>
      <c r="V126" s="486"/>
      <c r="W126" s="486"/>
      <c r="X126" s="486"/>
      <c r="Y126" s="486"/>
      <c r="Z126" s="486"/>
      <c r="AA126" s="486"/>
      <c r="AB126" s="486"/>
      <c r="AC126" s="486"/>
      <c r="AD126" s="486"/>
      <c r="AE126" s="486"/>
      <c r="AF126" s="486"/>
      <c r="AG126" s="486"/>
      <c r="AH126" s="486"/>
      <c r="AI126" s="486"/>
      <c r="AJ126" s="486"/>
      <c r="AK126" s="486"/>
      <c r="AL126" s="486"/>
      <c r="AM126" s="486"/>
      <c r="AN126" s="486"/>
      <c r="AO126" s="486"/>
      <c r="AP126" s="486"/>
      <c r="AQ126" s="486"/>
      <c r="AR126" s="486"/>
      <c r="AS126" s="486"/>
      <c r="AT126" s="486"/>
      <c r="AU126" s="486"/>
      <c r="AV126" s="486"/>
      <c r="AW126" s="486"/>
      <c r="AX126" s="486"/>
      <c r="AY126" s="486"/>
      <c r="AZ126" s="486"/>
      <c r="BA126" s="486"/>
    </row>
    <row r="127" spans="1:53">
      <c r="A127" s="486"/>
      <c r="B127" s="486"/>
      <c r="C127" s="486"/>
      <c r="D127" s="486"/>
      <c r="E127" s="486"/>
      <c r="F127" s="486"/>
      <c r="G127" s="486"/>
      <c r="H127" s="486"/>
      <c r="I127" s="486"/>
      <c r="J127" s="486"/>
      <c r="K127" s="486"/>
      <c r="L127" s="486"/>
      <c r="M127" s="486"/>
      <c r="N127" s="486"/>
      <c r="O127" s="486"/>
      <c r="P127" s="486"/>
      <c r="Q127" s="486"/>
      <c r="R127" s="486"/>
      <c r="S127" s="486"/>
      <c r="T127" s="486"/>
      <c r="U127" s="486"/>
      <c r="V127" s="486"/>
      <c r="W127" s="486"/>
      <c r="X127" s="486"/>
      <c r="Y127" s="486"/>
      <c r="Z127" s="486"/>
      <c r="AA127" s="486"/>
      <c r="AB127" s="486"/>
      <c r="AC127" s="486"/>
      <c r="AD127" s="486"/>
      <c r="AE127" s="486"/>
      <c r="AF127" s="486"/>
      <c r="AG127" s="486"/>
      <c r="AH127" s="486"/>
      <c r="AI127" s="486"/>
      <c r="AJ127" s="486"/>
      <c r="AK127" s="486"/>
      <c r="AL127" s="486"/>
      <c r="AM127" s="486"/>
      <c r="AN127" s="486"/>
      <c r="AO127" s="486"/>
      <c r="AP127" s="486"/>
      <c r="AQ127" s="486"/>
      <c r="AR127" s="486"/>
      <c r="AS127" s="486"/>
      <c r="AT127" s="486"/>
      <c r="AU127" s="486"/>
      <c r="AV127" s="486"/>
      <c r="AW127" s="486"/>
      <c r="AX127" s="486"/>
      <c r="AY127" s="486"/>
      <c r="AZ127" s="486"/>
      <c r="BA127" s="486"/>
    </row>
    <row r="128" spans="1:53">
      <c r="A128" s="486"/>
      <c r="B128" s="486"/>
      <c r="C128" s="486"/>
      <c r="D128" s="486"/>
      <c r="E128" s="486"/>
      <c r="F128" s="486"/>
      <c r="G128" s="486"/>
      <c r="H128" s="486"/>
      <c r="I128" s="486"/>
      <c r="J128" s="486"/>
      <c r="K128" s="486"/>
      <c r="L128" s="486"/>
      <c r="M128" s="486"/>
      <c r="N128" s="486"/>
      <c r="O128" s="486"/>
      <c r="P128" s="486"/>
      <c r="Q128" s="486"/>
      <c r="R128" s="486"/>
      <c r="S128" s="486"/>
      <c r="T128" s="486"/>
      <c r="U128" s="486"/>
      <c r="V128" s="486"/>
      <c r="W128" s="486"/>
      <c r="X128" s="486"/>
      <c r="Y128" s="486"/>
      <c r="Z128" s="486"/>
      <c r="AA128" s="486"/>
      <c r="AB128" s="486"/>
      <c r="AC128" s="486"/>
      <c r="AD128" s="486"/>
      <c r="AE128" s="486"/>
      <c r="AF128" s="486"/>
      <c r="AG128" s="486"/>
      <c r="AH128" s="486"/>
      <c r="AI128" s="486"/>
      <c r="AJ128" s="486"/>
      <c r="AK128" s="486"/>
      <c r="AL128" s="486"/>
      <c r="AM128" s="486"/>
      <c r="AN128" s="486"/>
      <c r="AO128" s="486"/>
      <c r="AP128" s="486"/>
      <c r="AQ128" s="486"/>
      <c r="AR128" s="486"/>
      <c r="AS128" s="486"/>
      <c r="AT128" s="486"/>
      <c r="AU128" s="486"/>
      <c r="AV128" s="486"/>
      <c r="AW128" s="486"/>
      <c r="AX128" s="486"/>
      <c r="AY128" s="486"/>
      <c r="AZ128" s="486"/>
      <c r="BA128" s="486"/>
    </row>
    <row r="129" spans="1:53">
      <c r="A129" s="486"/>
      <c r="B129" s="486"/>
      <c r="C129" s="486"/>
      <c r="D129" s="486"/>
      <c r="E129" s="486"/>
      <c r="F129" s="486"/>
      <c r="G129" s="486"/>
      <c r="H129" s="486"/>
      <c r="I129" s="486"/>
      <c r="J129" s="486"/>
      <c r="K129" s="486"/>
      <c r="L129" s="486"/>
      <c r="M129" s="486"/>
      <c r="N129" s="486"/>
      <c r="O129" s="486"/>
      <c r="P129" s="486"/>
      <c r="Q129" s="486"/>
      <c r="R129" s="486"/>
      <c r="S129" s="486"/>
      <c r="T129" s="486"/>
      <c r="U129" s="486"/>
      <c r="V129" s="486"/>
      <c r="W129" s="486"/>
      <c r="X129" s="486"/>
      <c r="Y129" s="486"/>
      <c r="Z129" s="486"/>
      <c r="AA129" s="486"/>
      <c r="AB129" s="486"/>
      <c r="AC129" s="486"/>
      <c r="AD129" s="486"/>
      <c r="AE129" s="486"/>
      <c r="AF129" s="486"/>
      <c r="AG129" s="486"/>
      <c r="AH129" s="486"/>
      <c r="AI129" s="486"/>
      <c r="AJ129" s="486"/>
      <c r="AK129" s="486"/>
      <c r="AL129" s="486"/>
      <c r="AM129" s="486"/>
      <c r="AN129" s="486"/>
      <c r="AO129" s="486"/>
      <c r="AP129" s="486"/>
      <c r="AQ129" s="486"/>
      <c r="AR129" s="486"/>
      <c r="AS129" s="486"/>
      <c r="AT129" s="486"/>
      <c r="AU129" s="486"/>
      <c r="AV129" s="486"/>
      <c r="AW129" s="486"/>
      <c r="AX129" s="486"/>
      <c r="AY129" s="486"/>
      <c r="AZ129" s="486"/>
      <c r="BA129" s="486"/>
    </row>
    <row r="130" spans="1:53">
      <c r="A130" s="486"/>
      <c r="B130" s="486"/>
      <c r="C130" s="486"/>
      <c r="D130" s="486"/>
      <c r="E130" s="486"/>
      <c r="F130" s="486"/>
      <c r="G130" s="486"/>
      <c r="H130" s="486"/>
      <c r="I130" s="486"/>
      <c r="J130" s="486"/>
      <c r="K130" s="486"/>
      <c r="L130" s="486"/>
      <c r="M130" s="486"/>
      <c r="N130" s="486"/>
      <c r="O130" s="486"/>
      <c r="P130" s="486"/>
      <c r="Q130" s="486"/>
      <c r="R130" s="486"/>
      <c r="S130" s="486"/>
      <c r="T130" s="486"/>
      <c r="U130" s="486"/>
      <c r="V130" s="486"/>
      <c r="W130" s="486"/>
      <c r="X130" s="486"/>
      <c r="Y130" s="486"/>
      <c r="Z130" s="486"/>
      <c r="AA130" s="486"/>
      <c r="AB130" s="486"/>
      <c r="AC130" s="486"/>
      <c r="AD130" s="486"/>
      <c r="AE130" s="486"/>
      <c r="AF130" s="486"/>
      <c r="AG130" s="486"/>
      <c r="AH130" s="486"/>
      <c r="AI130" s="486"/>
      <c r="AJ130" s="486"/>
      <c r="AK130" s="486"/>
      <c r="AL130" s="486"/>
      <c r="AM130" s="486"/>
      <c r="AN130" s="486"/>
      <c r="AO130" s="486"/>
      <c r="AP130" s="486"/>
      <c r="AQ130" s="486"/>
      <c r="AR130" s="486"/>
      <c r="AS130" s="486"/>
      <c r="AT130" s="486"/>
      <c r="AU130" s="486"/>
      <c r="AV130" s="486"/>
      <c r="AW130" s="486"/>
      <c r="AX130" s="486"/>
      <c r="AY130" s="486"/>
      <c r="AZ130" s="486"/>
      <c r="BA130" s="486"/>
    </row>
    <row r="131" spans="1:53">
      <c r="A131" s="486"/>
      <c r="B131" s="486"/>
      <c r="C131" s="486"/>
      <c r="D131" s="486"/>
      <c r="E131" s="486"/>
      <c r="F131" s="486"/>
      <c r="G131" s="486"/>
      <c r="H131" s="486"/>
      <c r="I131" s="486"/>
      <c r="J131" s="486"/>
      <c r="K131" s="486"/>
      <c r="L131" s="486"/>
      <c r="M131" s="486"/>
      <c r="N131" s="486"/>
      <c r="O131" s="486"/>
      <c r="P131" s="486"/>
      <c r="Q131" s="486"/>
      <c r="R131" s="486"/>
      <c r="S131" s="486"/>
      <c r="T131" s="486"/>
      <c r="U131" s="486"/>
      <c r="V131" s="486"/>
      <c r="W131" s="486"/>
      <c r="X131" s="486"/>
      <c r="Y131" s="486"/>
      <c r="Z131" s="486"/>
      <c r="AA131" s="486"/>
      <c r="AB131" s="486"/>
      <c r="AC131" s="486"/>
      <c r="AD131" s="486"/>
      <c r="AE131" s="486"/>
      <c r="AF131" s="486"/>
      <c r="AG131" s="486"/>
      <c r="AH131" s="486"/>
      <c r="AI131" s="486"/>
      <c r="AJ131" s="486"/>
      <c r="AK131" s="486"/>
      <c r="AL131" s="486"/>
      <c r="AM131" s="486"/>
      <c r="AN131" s="486"/>
      <c r="AO131" s="486"/>
      <c r="AP131" s="486"/>
      <c r="AQ131" s="486"/>
      <c r="AR131" s="486"/>
      <c r="AS131" s="486"/>
      <c r="AT131" s="486"/>
      <c r="AU131" s="486"/>
      <c r="AV131" s="486"/>
      <c r="AW131" s="486"/>
      <c r="AX131" s="486"/>
      <c r="AY131" s="486"/>
      <c r="AZ131" s="486"/>
      <c r="BA131" s="486"/>
    </row>
    <row r="132" spans="1:53">
      <c r="A132" s="486"/>
      <c r="B132" s="486"/>
      <c r="C132" s="486"/>
      <c r="D132" s="486"/>
      <c r="E132" s="486"/>
      <c r="F132" s="486"/>
      <c r="G132" s="486"/>
      <c r="H132" s="486"/>
      <c r="I132" s="486"/>
      <c r="J132" s="486"/>
      <c r="K132" s="486"/>
      <c r="L132" s="486"/>
      <c r="M132" s="486"/>
      <c r="N132" s="486"/>
      <c r="O132" s="486"/>
      <c r="P132" s="486"/>
      <c r="Q132" s="486"/>
      <c r="R132" s="486"/>
      <c r="S132" s="486"/>
      <c r="T132" s="486"/>
      <c r="U132" s="486"/>
      <c r="V132" s="486"/>
      <c r="W132" s="486"/>
      <c r="X132" s="486"/>
      <c r="Y132" s="486"/>
      <c r="Z132" s="486"/>
      <c r="AA132" s="486"/>
      <c r="AB132" s="486"/>
      <c r="AC132" s="486"/>
      <c r="AD132" s="486"/>
      <c r="AE132" s="486"/>
      <c r="AF132" s="486"/>
      <c r="AG132" s="486"/>
      <c r="AH132" s="486"/>
      <c r="AI132" s="486"/>
      <c r="AJ132" s="486"/>
      <c r="AK132" s="486"/>
      <c r="AL132" s="486"/>
      <c r="AM132" s="486"/>
      <c r="AN132" s="486"/>
      <c r="AO132" s="486"/>
      <c r="AP132" s="486"/>
      <c r="AQ132" s="486"/>
      <c r="AR132" s="486"/>
      <c r="AS132" s="486"/>
      <c r="AT132" s="486"/>
      <c r="AU132" s="486"/>
      <c r="AV132" s="486"/>
      <c r="AW132" s="486"/>
      <c r="AX132" s="486"/>
      <c r="AY132" s="486"/>
      <c r="AZ132" s="486"/>
      <c r="BA132" s="486"/>
    </row>
    <row r="133" spans="1:53">
      <c r="A133" s="486"/>
      <c r="B133" s="486"/>
      <c r="C133" s="486"/>
      <c r="D133" s="486"/>
      <c r="E133" s="486"/>
      <c r="F133" s="486"/>
      <c r="G133" s="486"/>
      <c r="H133" s="486"/>
      <c r="I133" s="486"/>
      <c r="J133" s="486"/>
      <c r="K133" s="486"/>
      <c r="L133" s="486"/>
      <c r="M133" s="486"/>
      <c r="N133" s="486"/>
      <c r="O133" s="486"/>
      <c r="P133" s="486"/>
      <c r="Q133" s="486"/>
      <c r="R133" s="486"/>
      <c r="S133" s="486"/>
      <c r="T133" s="486"/>
      <c r="U133" s="486"/>
      <c r="V133" s="486"/>
      <c r="W133" s="486"/>
      <c r="X133" s="486"/>
      <c r="Y133" s="486"/>
      <c r="Z133" s="486"/>
      <c r="AA133" s="486"/>
      <c r="AB133" s="486"/>
      <c r="AC133" s="486"/>
      <c r="AD133" s="486"/>
      <c r="AE133" s="486"/>
      <c r="AF133" s="486"/>
      <c r="AG133" s="486"/>
      <c r="AH133" s="486"/>
      <c r="AI133" s="486"/>
      <c r="AJ133" s="486"/>
      <c r="AK133" s="486"/>
      <c r="AL133" s="486"/>
      <c r="AM133" s="486"/>
      <c r="AN133" s="486"/>
      <c r="AO133" s="486"/>
      <c r="AP133" s="486"/>
      <c r="AQ133" s="486"/>
      <c r="AR133" s="486"/>
      <c r="AS133" s="486"/>
      <c r="AT133" s="486"/>
      <c r="AU133" s="486"/>
      <c r="AV133" s="486"/>
      <c r="AW133" s="486"/>
      <c r="AX133" s="486"/>
      <c r="AY133" s="486"/>
      <c r="AZ133" s="486"/>
      <c r="BA133" s="486"/>
    </row>
    <row r="134" spans="1:53">
      <c r="A134" s="486"/>
      <c r="B134" s="486"/>
      <c r="C134" s="486"/>
      <c r="D134" s="486"/>
      <c r="E134" s="486"/>
      <c r="F134" s="486"/>
      <c r="G134" s="486"/>
      <c r="H134" s="486"/>
      <c r="I134" s="486"/>
      <c r="J134" s="486"/>
      <c r="K134" s="486"/>
      <c r="L134" s="486"/>
      <c r="M134" s="486"/>
      <c r="N134" s="486"/>
      <c r="O134" s="486"/>
      <c r="P134" s="486"/>
      <c r="Q134" s="486"/>
      <c r="R134" s="486"/>
      <c r="S134" s="486"/>
      <c r="T134" s="486"/>
      <c r="U134" s="486"/>
      <c r="V134" s="486"/>
      <c r="W134" s="486"/>
      <c r="X134" s="486"/>
      <c r="Y134" s="486"/>
      <c r="Z134" s="486"/>
      <c r="AA134" s="486"/>
      <c r="AB134" s="486"/>
      <c r="AC134" s="486"/>
      <c r="AD134" s="486"/>
      <c r="AE134" s="486"/>
      <c r="AF134" s="486"/>
      <c r="AG134" s="486"/>
      <c r="AH134" s="486"/>
      <c r="AI134" s="486"/>
      <c r="AJ134" s="486"/>
      <c r="AK134" s="486"/>
      <c r="AL134" s="486"/>
      <c r="AM134" s="486"/>
      <c r="AN134" s="486"/>
      <c r="AO134" s="486"/>
      <c r="AP134" s="486"/>
      <c r="AQ134" s="486"/>
      <c r="AR134" s="486"/>
      <c r="AS134" s="486"/>
      <c r="AT134" s="486"/>
      <c r="AU134" s="486"/>
      <c r="AV134" s="486"/>
      <c r="AW134" s="486"/>
      <c r="AX134" s="486"/>
      <c r="AY134" s="486"/>
      <c r="AZ134" s="486"/>
      <c r="BA134" s="486"/>
    </row>
    <row r="135" spans="1:53">
      <c r="A135" s="486"/>
      <c r="B135" s="486"/>
      <c r="C135" s="486"/>
      <c r="D135" s="486"/>
      <c r="E135" s="486"/>
      <c r="F135" s="486"/>
      <c r="G135" s="486"/>
      <c r="H135" s="486"/>
      <c r="I135" s="486"/>
      <c r="J135" s="486"/>
      <c r="K135" s="486"/>
      <c r="L135" s="486"/>
      <c r="M135" s="486"/>
      <c r="N135" s="486"/>
      <c r="O135" s="486"/>
      <c r="P135" s="486"/>
      <c r="Q135" s="486"/>
      <c r="R135" s="486"/>
      <c r="S135" s="486"/>
      <c r="T135" s="486"/>
      <c r="U135" s="486"/>
      <c r="V135" s="486"/>
      <c r="W135" s="486"/>
      <c r="X135" s="486"/>
      <c r="Y135" s="486"/>
      <c r="Z135" s="486"/>
      <c r="AA135" s="486"/>
      <c r="AB135" s="486"/>
      <c r="AC135" s="486"/>
      <c r="AD135" s="486"/>
      <c r="AE135" s="486"/>
      <c r="AF135" s="486"/>
      <c r="AG135" s="486"/>
      <c r="AH135" s="486"/>
      <c r="AI135" s="486"/>
      <c r="AJ135" s="486"/>
      <c r="AK135" s="486"/>
      <c r="AL135" s="486"/>
      <c r="AM135" s="486"/>
      <c r="AN135" s="486"/>
      <c r="AO135" s="486"/>
      <c r="AP135" s="486"/>
      <c r="AQ135" s="486"/>
      <c r="AR135" s="486"/>
      <c r="AS135" s="486"/>
      <c r="AT135" s="486"/>
      <c r="AU135" s="486"/>
      <c r="AV135" s="486"/>
      <c r="AW135" s="486"/>
      <c r="AX135" s="486"/>
      <c r="AY135" s="486"/>
      <c r="AZ135" s="486"/>
      <c r="BA135" s="486"/>
    </row>
    <row r="136" spans="1:53">
      <c r="A136" s="486"/>
      <c r="B136" s="486"/>
      <c r="C136" s="486"/>
      <c r="D136" s="486"/>
      <c r="E136" s="486"/>
      <c r="F136" s="486"/>
      <c r="G136" s="486"/>
      <c r="H136" s="486"/>
      <c r="I136" s="486"/>
      <c r="J136" s="486"/>
      <c r="K136" s="486"/>
      <c r="L136" s="486"/>
      <c r="M136" s="486"/>
      <c r="N136" s="486"/>
      <c r="O136" s="486"/>
      <c r="P136" s="486"/>
      <c r="Q136" s="486"/>
      <c r="R136" s="486"/>
      <c r="S136" s="486"/>
      <c r="T136" s="486"/>
      <c r="U136" s="486"/>
      <c r="V136" s="486"/>
      <c r="W136" s="486"/>
      <c r="X136" s="486"/>
      <c r="Y136" s="486"/>
      <c r="Z136" s="486"/>
      <c r="AA136" s="486"/>
      <c r="AB136" s="486"/>
      <c r="AC136" s="486"/>
      <c r="AD136" s="486"/>
      <c r="AE136" s="486"/>
      <c r="AF136" s="486"/>
      <c r="AG136" s="486"/>
      <c r="AH136" s="486"/>
      <c r="AI136" s="486"/>
      <c r="AJ136" s="486"/>
      <c r="AK136" s="486"/>
      <c r="AL136" s="486"/>
      <c r="AM136" s="486"/>
      <c r="AN136" s="486"/>
      <c r="AO136" s="486"/>
      <c r="AP136" s="486"/>
      <c r="AQ136" s="486"/>
      <c r="AR136" s="486"/>
      <c r="AS136" s="486"/>
      <c r="AT136" s="486"/>
      <c r="AU136" s="486"/>
      <c r="AV136" s="486"/>
      <c r="AW136" s="486"/>
      <c r="AX136" s="486"/>
      <c r="AY136" s="486"/>
      <c r="AZ136" s="486"/>
      <c r="BA136" s="486"/>
    </row>
    <row r="137" spans="1:53">
      <c r="A137" s="486"/>
      <c r="B137" s="486"/>
      <c r="C137" s="486"/>
      <c r="D137" s="486"/>
      <c r="E137" s="486"/>
      <c r="F137" s="486"/>
      <c r="G137" s="486"/>
      <c r="H137" s="486"/>
      <c r="I137" s="486"/>
      <c r="J137" s="486"/>
      <c r="K137" s="486"/>
      <c r="L137" s="486"/>
      <c r="M137" s="486"/>
      <c r="N137" s="486"/>
      <c r="O137" s="486"/>
      <c r="P137" s="486"/>
      <c r="Q137" s="486"/>
      <c r="R137" s="486"/>
      <c r="S137" s="486"/>
      <c r="T137" s="486"/>
      <c r="U137" s="486"/>
      <c r="V137" s="486"/>
      <c r="W137" s="486"/>
      <c r="X137" s="486"/>
      <c r="Y137" s="486"/>
      <c r="Z137" s="486"/>
      <c r="AA137" s="486"/>
      <c r="AB137" s="486"/>
      <c r="AC137" s="486"/>
      <c r="AD137" s="486"/>
      <c r="AE137" s="486"/>
      <c r="AF137" s="486"/>
      <c r="AG137" s="486"/>
      <c r="AH137" s="486"/>
      <c r="AI137" s="486"/>
      <c r="AJ137" s="486"/>
      <c r="AK137" s="486"/>
      <c r="AL137" s="486"/>
      <c r="AM137" s="486"/>
      <c r="AN137" s="486"/>
      <c r="AO137" s="486"/>
      <c r="AP137" s="486"/>
      <c r="AQ137" s="486"/>
      <c r="AR137" s="486"/>
      <c r="AS137" s="486"/>
      <c r="AT137" s="486"/>
      <c r="AU137" s="486"/>
      <c r="AV137" s="486"/>
      <c r="AW137" s="486"/>
      <c r="AX137" s="486"/>
      <c r="AY137" s="486"/>
      <c r="AZ137" s="486"/>
      <c r="BA137" s="486"/>
    </row>
    <row r="138" spans="1:53">
      <c r="A138" s="519"/>
      <c r="B138" s="519"/>
      <c r="C138" s="519"/>
      <c r="D138" s="519"/>
      <c r="E138" s="520"/>
      <c r="F138" s="519"/>
      <c r="G138" s="519"/>
      <c r="H138" s="519"/>
      <c r="I138" s="519"/>
      <c r="J138" s="519"/>
      <c r="K138" s="519"/>
      <c r="L138" s="519"/>
      <c r="M138" s="519"/>
      <c r="N138" s="519"/>
    </row>
    <row r="139" spans="1:53">
      <c r="A139" s="519"/>
      <c r="B139" s="519"/>
      <c r="C139" s="519"/>
      <c r="D139" s="519"/>
      <c r="E139" s="520"/>
      <c r="F139" s="519"/>
      <c r="G139" s="519"/>
      <c r="H139" s="519"/>
      <c r="I139" s="519"/>
      <c r="J139" s="519"/>
      <c r="K139" s="519"/>
      <c r="L139" s="519"/>
      <c r="M139" s="519"/>
      <c r="N139" s="519"/>
    </row>
    <row r="140" spans="1:53">
      <c r="A140" s="521"/>
      <c r="B140" s="521"/>
      <c r="C140" s="519"/>
      <c r="D140" s="519"/>
      <c r="E140" s="519"/>
      <c r="F140" s="519"/>
      <c r="G140" s="519"/>
      <c r="H140" s="519"/>
      <c r="I140" s="519"/>
      <c r="J140" s="519"/>
      <c r="K140" s="519"/>
      <c r="L140" s="519"/>
      <c r="M140" s="519"/>
      <c r="N140" s="519"/>
    </row>
  </sheetData>
  <mergeCells count="7">
    <mergeCell ref="A39:E39"/>
    <mergeCell ref="A7:E7"/>
    <mergeCell ref="H7:L7"/>
    <mergeCell ref="A17:E17"/>
    <mergeCell ref="H17:K17"/>
    <mergeCell ref="H26:K26"/>
    <mergeCell ref="A28:E28"/>
  </mergeCells>
  <pageMargins left="0.7" right="0.7" top="0.75" bottom="0.75" header="0.3" footer="0.3"/>
  <pageSetup paperSize="9"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7"/>
  <dimension ref="A1:AR175"/>
  <sheetViews>
    <sheetView zoomScale="55" zoomScaleNormal="55" workbookViewId="0">
      <selection activeCell="E1" sqref="E1:M1"/>
    </sheetView>
  </sheetViews>
  <sheetFormatPr defaultColWidth="9.29296875" defaultRowHeight="14.7"/>
  <cols>
    <col min="1" max="1" width="51.8203125" style="161" bestFit="1" customWidth="1"/>
    <col min="2" max="2" width="13.17578125" style="161" bestFit="1" customWidth="1"/>
    <col min="3" max="3" width="12.29296875" style="183" bestFit="1" customWidth="1"/>
    <col min="4" max="4" width="5.8203125" style="161" customWidth="1"/>
    <col min="5" max="5" width="67.703125" style="161" bestFit="1" customWidth="1"/>
    <col min="6" max="6" width="14.46875" style="161" bestFit="1" customWidth="1"/>
    <col min="7" max="7" width="12.46875" style="161" bestFit="1" customWidth="1"/>
    <col min="8" max="8" width="13" style="161" bestFit="1" customWidth="1"/>
    <col min="9" max="9" width="14.46875" style="161" bestFit="1" customWidth="1"/>
    <col min="10" max="10" width="9.17578125" style="161" bestFit="1" customWidth="1"/>
    <col min="11" max="11" width="15.703125" style="161" bestFit="1" customWidth="1"/>
    <col min="12" max="12" width="13.17578125" style="161" bestFit="1" customWidth="1"/>
    <col min="13" max="13" width="41.29296875" style="161" bestFit="1" customWidth="1"/>
    <col min="14" max="14" width="9.703125" style="161" bestFit="1" customWidth="1"/>
    <col min="15" max="15" width="9" style="161" bestFit="1" customWidth="1"/>
    <col min="16" max="17" width="13.17578125" style="161" bestFit="1" customWidth="1"/>
    <col min="18" max="18" width="15.29296875" style="161" bestFit="1" customWidth="1"/>
    <col min="19" max="19" width="26.29296875" style="161" bestFit="1" customWidth="1"/>
    <col min="20" max="20" width="27.17578125" style="161" bestFit="1" customWidth="1"/>
    <col min="21" max="21" width="43.703125" style="161" bestFit="1" customWidth="1"/>
    <col min="22" max="22" width="37.703125" style="161" bestFit="1" customWidth="1"/>
    <col min="23" max="23" width="51" style="161" bestFit="1" customWidth="1"/>
    <col min="24" max="24" width="27.8203125" style="161" bestFit="1" customWidth="1"/>
    <col min="25" max="25" width="13.17578125" style="161" bestFit="1" customWidth="1"/>
    <col min="26" max="26" width="8.8203125" style="161" bestFit="1" customWidth="1"/>
    <col min="27" max="29" width="13.8203125" style="161" bestFit="1" customWidth="1"/>
    <col min="30" max="30" width="2.8203125" style="161" customWidth="1"/>
    <col min="31" max="31" width="22.703125" style="161" bestFit="1" customWidth="1"/>
    <col min="32" max="32" width="40.8203125" style="161" bestFit="1" customWidth="1"/>
    <col min="33" max="34" width="13.17578125" style="161" bestFit="1" customWidth="1"/>
    <col min="35" max="35" width="4.8203125" style="161" customWidth="1"/>
    <col min="36" max="38" width="13.17578125" style="161" bestFit="1" customWidth="1"/>
    <col min="39" max="39" width="4.8203125" style="161" customWidth="1"/>
    <col min="40" max="42" width="13.8203125" style="161" bestFit="1" customWidth="1"/>
    <col min="43" max="43" width="2.8203125" style="161" customWidth="1"/>
    <col min="44" max="44" width="13.17578125" style="161" bestFit="1" customWidth="1"/>
    <col min="45" max="16384" width="9.29296875" style="161"/>
  </cols>
  <sheetData>
    <row r="1" spans="1:19" ht="31.5">
      <c r="A1" s="158" t="s">
        <v>68</v>
      </c>
      <c r="B1" s="159">
        <f>299792458</f>
        <v>299792458</v>
      </c>
      <c r="C1" s="160" t="s">
        <v>69</v>
      </c>
      <c r="E1" s="601" t="s">
        <v>476</v>
      </c>
      <c r="F1" s="601"/>
      <c r="G1" s="601"/>
      <c r="H1" s="601"/>
      <c r="I1" s="601"/>
      <c r="J1" s="601"/>
      <c r="K1" s="601"/>
      <c r="L1" s="601"/>
      <c r="M1" s="601"/>
      <c r="N1" s="162"/>
      <c r="O1" s="162"/>
      <c r="P1" s="162"/>
    </row>
    <row r="2" spans="1:19" ht="15" thickBot="1">
      <c r="A2" s="163" t="s">
        <v>70</v>
      </c>
      <c r="B2" s="164">
        <f>6.6260755E-34</f>
        <v>6.6260755E-34</v>
      </c>
      <c r="C2" s="165" t="s">
        <v>71</v>
      </c>
      <c r="E2" s="162"/>
      <c r="O2" s="166"/>
    </row>
    <row r="3" spans="1:19">
      <c r="A3" s="163" t="s">
        <v>72</v>
      </c>
      <c r="B3" s="164">
        <f>1.380658E-23</f>
        <v>1.3806580000000001E-23</v>
      </c>
      <c r="C3" s="165" t="s">
        <v>73</v>
      </c>
      <c r="E3" s="167" t="s">
        <v>180</v>
      </c>
      <c r="F3" s="168"/>
      <c r="G3" s="169" t="s">
        <v>74</v>
      </c>
      <c r="H3" s="170"/>
      <c r="I3" s="170"/>
      <c r="J3" s="170" t="s">
        <v>7</v>
      </c>
      <c r="K3" s="169" t="s">
        <v>75</v>
      </c>
      <c r="L3" s="171"/>
      <c r="M3" s="172"/>
      <c r="N3" s="170"/>
      <c r="O3" s="173"/>
      <c r="P3" s="170"/>
      <c r="Q3" s="170"/>
      <c r="R3" s="171"/>
    </row>
    <row r="4" spans="1:19" ht="15" thickBot="1">
      <c r="A4" s="174" t="s">
        <v>76</v>
      </c>
      <c r="B4" s="175">
        <f>0.0000000567051</f>
        <v>5.6705100000000003E-8</v>
      </c>
      <c r="C4" s="176" t="s">
        <v>77</v>
      </c>
      <c r="E4" s="177" t="s">
        <v>22</v>
      </c>
      <c r="F4" s="178" t="s">
        <v>78</v>
      </c>
      <c r="G4" s="178" t="s">
        <v>79</v>
      </c>
      <c r="H4" s="178" t="s">
        <v>80</v>
      </c>
      <c r="I4" s="178" t="s">
        <v>81</v>
      </c>
      <c r="J4" s="178"/>
      <c r="K4" s="179" t="s">
        <v>78</v>
      </c>
      <c r="L4" s="180"/>
      <c r="M4" s="181" t="s">
        <v>79</v>
      </c>
      <c r="N4" s="179"/>
      <c r="O4" s="179" t="s">
        <v>80</v>
      </c>
      <c r="P4" s="179"/>
      <c r="Q4" s="179" t="s">
        <v>81</v>
      </c>
      <c r="R4" s="182"/>
    </row>
    <row r="5" spans="1:19">
      <c r="E5" s="184">
        <v>0</v>
      </c>
      <c r="F5" s="161">
        <v>8.4</v>
      </c>
      <c r="G5" s="166">
        <f>$B$34*1.2*10^0</f>
        <v>1.2</v>
      </c>
      <c r="H5" s="166">
        <f>1.2*10^0*$B$34</f>
        <v>1.2</v>
      </c>
      <c r="I5" s="166">
        <f>1.2*10^0*$B$34</f>
        <v>1.2</v>
      </c>
      <c r="J5" s="166"/>
      <c r="K5" s="161">
        <f t="array" ref="K5:L5">LOGEST(F5:F6,E5:E6)</f>
        <v>0.99647343942365929</v>
      </c>
      <c r="L5" s="185">
        <v>8.4</v>
      </c>
      <c r="M5" s="186">
        <f t="array" ref="M5:N5">LOGEST(G5:G6,E5:E6)</f>
        <v>0.86267099598919128</v>
      </c>
      <c r="N5" s="166">
        <v>1.2000000000000013</v>
      </c>
      <c r="O5" s="166">
        <f t="array" ref="O5:P5">LOGEST(H5:H6,E5:E6)</f>
        <v>0.86300148430553925</v>
      </c>
      <c r="P5" s="166">
        <v>1.2000000000000004</v>
      </c>
      <c r="Q5" s="161">
        <f t="array" ref="Q5:R5">LOGEST(I5:I6,E5:E6)</f>
        <v>0.86354284336938314</v>
      </c>
      <c r="R5" s="187">
        <v>1.2000000000000024</v>
      </c>
      <c r="S5" s="166"/>
    </row>
    <row r="6" spans="1:19" ht="15" thickBot="1">
      <c r="E6" s="184">
        <v>100</v>
      </c>
      <c r="F6" s="161">
        <v>5.9</v>
      </c>
      <c r="G6" s="166">
        <f>4.61*10^-7*$B$34</f>
        <v>4.6100000000000001E-7</v>
      </c>
      <c r="H6" s="166">
        <f>4.79*10^-7*$B$34</f>
        <v>4.7899999999999999E-7</v>
      </c>
      <c r="I6" s="166">
        <f>5.1*10^-7*$B$34</f>
        <v>5.0999999999999999E-7</v>
      </c>
      <c r="J6" s="166"/>
      <c r="K6" s="161">
        <f t="array" ref="K6:L6">LOGEST(F6:F7,E6:E7)</f>
        <v>1.0297072329929207</v>
      </c>
      <c r="L6" s="185">
        <v>0.31584621299500232</v>
      </c>
      <c r="M6" s="186">
        <f t="array" ref="M6:N6">LOGEST(G6:G7,E6:E7)</f>
        <v>0.89346112401831479</v>
      </c>
      <c r="N6" s="166">
        <v>3.5986108723599558E-2</v>
      </c>
      <c r="O6" s="166">
        <f t="array" ref="O6:P6">LOGEST(H6:H7,E6:E7)</f>
        <v>0.89443103759468146</v>
      </c>
      <c r="P6" s="166">
        <v>3.3546667989377735E-2</v>
      </c>
      <c r="Q6" s="161">
        <f t="array" ref="Q6:R6">LOGEST(I6:I7,E6:E7)</f>
        <v>0.89544970934785129</v>
      </c>
      <c r="R6" s="187">
        <v>3.1875000000000216E-2</v>
      </c>
      <c r="S6" s="166"/>
    </row>
    <row r="7" spans="1:19" ht="15" thickBot="1">
      <c r="A7" s="188" t="s">
        <v>181</v>
      </c>
      <c r="B7" s="189">
        <v>132700000000</v>
      </c>
      <c r="C7" s="190" t="s">
        <v>82</v>
      </c>
      <c r="E7" s="184">
        <v>150</v>
      </c>
      <c r="F7" s="161">
        <v>25.5</v>
      </c>
      <c r="G7" s="166">
        <f>1.65*10^-9*$B$34</f>
        <v>1.6500000000000001E-9</v>
      </c>
      <c r="H7" s="166">
        <f>1.81*10^-9*$B$34</f>
        <v>1.8100000000000002E-9</v>
      </c>
      <c r="I7" s="166">
        <f>2.04*10^-9*$B$34</f>
        <v>2.04E-9</v>
      </c>
      <c r="J7" s="166"/>
      <c r="K7" s="161">
        <f t="array" ref="K7:L7">LOGEST(F7:F8,E7:E8)</f>
        <v>1.0077430733560648</v>
      </c>
      <c r="L7" s="185">
        <v>8.018015999999994</v>
      </c>
      <c r="M7" s="186">
        <f t="array" ref="M7:N7">LOGEST(G7:G8,E7:E8)</f>
        <v>0.95644218110239376</v>
      </c>
      <c r="N7" s="166">
        <v>1.3142432947406164E-6</v>
      </c>
      <c r="O7" s="166">
        <f t="array" ref="O7:P7">LOGEST(H7:H8,E7:E8)</f>
        <v>0.96141045125510749</v>
      </c>
      <c r="P7" s="166">
        <v>6.627545774349797E-7</v>
      </c>
      <c r="Q7" s="161">
        <f t="array" ref="Q7:R7">LOGEST(I7:I8,E7:E8)</f>
        <v>0.96546881378077976</v>
      </c>
      <c r="R7" s="187">
        <v>3.9709340956047757E-7</v>
      </c>
      <c r="S7" s="166"/>
    </row>
    <row r="8" spans="1:19" ht="15" thickBot="1">
      <c r="E8" s="184">
        <v>200</v>
      </c>
      <c r="F8" s="161">
        <v>37.5</v>
      </c>
      <c r="G8" s="166">
        <f>1.78*10^-10*$B$34</f>
        <v>1.7800000000000001E-10</v>
      </c>
      <c r="H8" s="166">
        <f>2.53*10^-10*$B$34</f>
        <v>2.5300000000000001E-10</v>
      </c>
      <c r="I8" s="166">
        <f>3.52*10^-10*$B$34</f>
        <v>3.5200000000000003E-10</v>
      </c>
      <c r="J8" s="166"/>
      <c r="K8" s="161">
        <f t="array" ref="K8:L8">LOGEST(F8:F9,E8:E9)</f>
        <v>1.0035636789870466</v>
      </c>
      <c r="L8" s="185">
        <v>18.409597045466189</v>
      </c>
      <c r="M8" s="186">
        <f t="array" ref="M8:N8">LOGEST(G8:G9,E8:E9)</f>
        <v>0.96714701577121509</v>
      </c>
      <c r="N8" s="166">
        <v>1.4187987049891646E-7</v>
      </c>
      <c r="O8" s="166">
        <f t="array" ref="O8:P8">LOGEST(H8:H9,E8:E9)</f>
        <v>0.97239178546508487</v>
      </c>
      <c r="P8" s="166">
        <v>6.836979018839576E-8</v>
      </c>
      <c r="Q8" s="161">
        <f t="array" ref="Q8:R8">LOGEST(I8:I9,E8:E9)</f>
        <v>0.97628195923691496</v>
      </c>
      <c r="R8" s="187">
        <v>4.2804542175819242E-8</v>
      </c>
      <c r="S8" s="166"/>
    </row>
    <row r="9" spans="1:19">
      <c r="A9" s="191" t="s">
        <v>182</v>
      </c>
      <c r="B9" s="192">
        <f>VLOOKUP("Earth",Constants!K29:V39,11,FALSE)</f>
        <v>149600016.456</v>
      </c>
      <c r="C9" s="160" t="s">
        <v>1</v>
      </c>
      <c r="E9" s="184">
        <v>250</v>
      </c>
      <c r="F9" s="161">
        <v>44.8</v>
      </c>
      <c r="G9" s="166">
        <f>3.35*10^-11*$B$34</f>
        <v>3.3500000000000001E-11</v>
      </c>
      <c r="H9" s="166">
        <f>6.24*10^-11*$B$34</f>
        <v>6.2399999999999999E-11</v>
      </c>
      <c r="I9" s="166">
        <f>1.06*10^-10*$B$34</f>
        <v>1.0600000000000001E-10</v>
      </c>
      <c r="J9" s="166"/>
      <c r="K9" s="161">
        <f t="array" ref="K9:L9">LOGEST(F9:F10,E9:E10)</f>
        <v>1.0023186226113339</v>
      </c>
      <c r="L9" s="185">
        <v>25.108927269167818</v>
      </c>
      <c r="M9" s="186">
        <f t="array" ref="M9:N9">LOGEST(G9:G10,E9:E10)</f>
        <v>0.97222051708922141</v>
      </c>
      <c r="N9" s="166">
        <v>3.8357415185596573E-8</v>
      </c>
      <c r="O9" s="166">
        <f t="array" ref="O9:P9">LOGEST(H9:H10,E9:E10)</f>
        <v>0.97700548171152435</v>
      </c>
      <c r="P9" s="166">
        <v>2.0937965568000135E-8</v>
      </c>
      <c r="Q9" s="161">
        <f t="array" ref="Q9:R9">LOGEST(I9:I10,E9:E10)</f>
        <v>0.98050042536913595</v>
      </c>
      <c r="R9" s="187">
        <v>1.456663579927229E-8</v>
      </c>
      <c r="S9" s="166"/>
    </row>
    <row r="10" spans="1:19">
      <c r="A10" s="193" t="s">
        <v>183</v>
      </c>
      <c r="B10" s="194">
        <f>VLOOKUP("Earth",Constants!K29:V39,10,FALSE)</f>
        <v>365.25599999999997</v>
      </c>
      <c r="C10" s="165" t="s">
        <v>184</v>
      </c>
      <c r="E10" s="184">
        <v>300</v>
      </c>
      <c r="F10" s="161">
        <v>50.3</v>
      </c>
      <c r="G10" s="166">
        <f>8.19*10^-12*$B$34</f>
        <v>8.1899999999999996E-12</v>
      </c>
      <c r="H10" s="166">
        <f>1.95*10^-11*$B$34</f>
        <v>1.9499999999999997E-11</v>
      </c>
      <c r="I10" s="166">
        <f>3.96*10^-11*$B$34</f>
        <v>3.9599999999999998E-11</v>
      </c>
      <c r="J10" s="166"/>
      <c r="K10" s="161">
        <f t="array" ref="K10:L10">LOGEST(F10:F11,E10:E11)</f>
        <v>1.0017151715639681</v>
      </c>
      <c r="L10" s="185">
        <v>30.08101903544739</v>
      </c>
      <c r="M10" s="186">
        <f t="array" ref="M10:N10">LOGEST(G10:G11,E10:E11)</f>
        <v>0.97525601850620436</v>
      </c>
      <c r="N10" s="166">
        <v>1.5055395468750046E-8</v>
      </c>
      <c r="O10" s="166">
        <f t="array" ref="O10:P10">LOGEST(H10:H11,E10:E11)</f>
        <v>0.97966234659641926</v>
      </c>
      <c r="P10" s="166">
        <v>9.2706405771136565E-9</v>
      </c>
      <c r="Q10" s="161">
        <f t="array" ref="Q10:R10">LOGEST(I10:I11,E10:E11)</f>
        <v>0.98285628058069752</v>
      </c>
      <c r="R10" s="187">
        <v>7.0907148974368284E-9</v>
      </c>
      <c r="S10" s="166"/>
    </row>
    <row r="11" spans="1:19">
      <c r="A11" s="193" t="s">
        <v>185</v>
      </c>
      <c r="B11" s="161">
        <f>VLOOKUP("Earth",Constants!K29:V39,7,FALSE)</f>
        <v>6378.1369999999997</v>
      </c>
      <c r="C11" s="165" t="s">
        <v>1</v>
      </c>
      <c r="E11" s="184">
        <v>350</v>
      </c>
      <c r="F11" s="161">
        <v>54.8</v>
      </c>
      <c r="G11" s="166">
        <f>2.34*10^-12*$B$34</f>
        <v>2.3399999999999997E-12</v>
      </c>
      <c r="H11" s="166">
        <f>6.98*10^-12*$B$34</f>
        <v>6.9800000000000006E-12</v>
      </c>
      <c r="I11" s="166">
        <f>1.668*10^-11*$B$34</f>
        <v>1.6679999999999998E-11</v>
      </c>
      <c r="J11" s="166"/>
      <c r="K11" s="161">
        <f t="array" ref="K11:L11">LOGEST(F11:F12,E11:E12)</f>
        <v>1.0012046281980518</v>
      </c>
      <c r="L11" s="185">
        <v>35.957010369125094</v>
      </c>
      <c r="M11" s="186">
        <f t="array" ref="M11:N11">LOGEST(G11:G12,E11:E12)</f>
        <v>0.97702551278446703</v>
      </c>
      <c r="N11" s="166">
        <v>7.9826905087363789E-9</v>
      </c>
      <c r="O11" s="166">
        <f t="array" ref="O11:P11">LOGEST(H11:H12,E11:E12)</f>
        <v>0.98132817847367793</v>
      </c>
      <c r="P11" s="166">
        <v>5.1151815532580723E-9</v>
      </c>
      <c r="Q11" s="161">
        <f t="array" ref="Q11:R11">LOGEST(I11:I12,E11:E12)</f>
        <v>0.98427174476845669</v>
      </c>
      <c r="R11" s="187">
        <v>4.2848903122017038E-9</v>
      </c>
      <c r="S11" s="166"/>
    </row>
    <row r="12" spans="1:19">
      <c r="A12" s="193" t="s">
        <v>186</v>
      </c>
      <c r="B12" s="161">
        <f>VLOOKUP("Earth",Constants!K29:Q39,6,FALSE)</f>
        <v>398600.44179999997</v>
      </c>
      <c r="C12" s="165" t="s">
        <v>82</v>
      </c>
      <c r="E12" s="184">
        <v>400</v>
      </c>
      <c r="F12" s="161">
        <v>58.2</v>
      </c>
      <c r="G12" s="166">
        <f>0.000000000000732*$B$34</f>
        <v>7.3200000000000001E-13</v>
      </c>
      <c r="H12" s="166">
        <f>0.00000000000272*$B$34</f>
        <v>2.7200000000000001E-12</v>
      </c>
      <c r="I12" s="166">
        <f>0.00000000000755*$B$34</f>
        <v>7.5500000000000007E-12</v>
      </c>
      <c r="J12" s="166"/>
      <c r="K12" s="161">
        <f t="array" ref="K12:L12">LOGEST(F12:F13,E12:E13)</f>
        <v>1.0010384285580636</v>
      </c>
      <c r="L12" s="185">
        <v>38.425813069096527</v>
      </c>
      <c r="M12" s="186">
        <f t="array" ref="M12:N12">LOGEST(G12:G13,E12:E13)</f>
        <v>0.97850650567608033</v>
      </c>
      <c r="N12" s="166">
        <v>4.3553604537007836E-9</v>
      </c>
      <c r="O12" s="166">
        <f t="array" ref="O12:P12">LOGEST(H12:H13,E12:E13)</f>
        <v>0.98258513759556954</v>
      </c>
      <c r="P12" s="166">
        <v>3.0654383649850907E-9</v>
      </c>
      <c r="Q12" s="161">
        <f t="array" ref="Q12:R12">LOGEST(I12:I13,E12:E13)</f>
        <v>0.98535155208239156</v>
      </c>
      <c r="R12" s="187">
        <v>2.7635348737019309E-9</v>
      </c>
      <c r="S12" s="166"/>
    </row>
    <row r="13" spans="1:19">
      <c r="A13" s="193" t="s">
        <v>187</v>
      </c>
      <c r="B13" s="195">
        <f>23+56/60+4/3600</f>
        <v>23.934444444444445</v>
      </c>
      <c r="C13" s="165" t="s">
        <v>188</v>
      </c>
      <c r="E13" s="184">
        <v>450</v>
      </c>
      <c r="F13" s="161">
        <v>61.3</v>
      </c>
      <c r="G13" s="166">
        <f>0.000000000000247*$B$34</f>
        <v>2.4700000000000001E-13</v>
      </c>
      <c r="H13" s="166">
        <f>0.00000000000113*$B$34</f>
        <v>1.13E-12</v>
      </c>
      <c r="I13" s="166">
        <f>0.00000000000361*$B$34</f>
        <v>3.6100000000000002E-12</v>
      </c>
      <c r="J13" s="166"/>
      <c r="K13" s="161">
        <f t="array" ref="K13:L13">LOGEST(F13:F14,E13:E14)</f>
        <v>1.0010182256573112</v>
      </c>
      <c r="L13" s="185">
        <v>38.776384530432807</v>
      </c>
      <c r="M13" s="186">
        <f t="array" ref="M13:N13">LOGEST(G13:G14,E13:E14)</f>
        <v>0.97996730783460739</v>
      </c>
      <c r="N13" s="166">
        <v>2.2257813678725773E-9</v>
      </c>
      <c r="O13" s="166">
        <f t="array" ref="O13:P13">LOGEST(H13:H14,E13:E14)</f>
        <v>0.98338732952300345</v>
      </c>
      <c r="P13" s="166">
        <v>2.1232674535004475E-9</v>
      </c>
      <c r="Q13" s="161">
        <f t="array" ref="Q13:R13">LOGEST(I13:I14,E13:E14)</f>
        <v>0.98617799126284589</v>
      </c>
      <c r="R13" s="187">
        <v>1.8950447638629697E-9</v>
      </c>
      <c r="S13" s="166"/>
    </row>
    <row r="14" spans="1:19" ht="15" thickBot="1">
      <c r="A14" s="196" t="s">
        <v>189</v>
      </c>
      <c r="B14" s="197">
        <f>VLOOKUP("Earth",Constants!K29:V39,9,FALSE)</f>
        <v>24</v>
      </c>
      <c r="C14" s="198" t="s">
        <v>188</v>
      </c>
      <c r="E14" s="184">
        <v>500</v>
      </c>
      <c r="F14" s="161">
        <v>64.5</v>
      </c>
      <c r="G14" s="166">
        <f>0.0000000000000898*$B$34</f>
        <v>8.9800000000000006E-14</v>
      </c>
      <c r="H14" s="166">
        <f>0.000000000000489*$B$34</f>
        <v>4.8900000000000004E-13</v>
      </c>
      <c r="I14" s="166">
        <f>0.0000000000018*$B$34</f>
        <v>1.8E-12</v>
      </c>
      <c r="J14" s="166"/>
      <c r="K14" s="161">
        <f t="array" ref="K14:L14">LOGEST(F14:F15,E14:E15)</f>
        <v>1.0012624757609592</v>
      </c>
      <c r="L14" s="185">
        <v>34.323335891636866</v>
      </c>
      <c r="M14" s="186">
        <f t="array" ref="M14:N14">LOGEST(G14:G15,E14:E15)</f>
        <v>0.98204775184085935</v>
      </c>
      <c r="N14" s="166">
        <v>7.7085634766226934E-10</v>
      </c>
      <c r="O14" s="166">
        <f t="array" ref="O14:P14">LOGEST(H14:H15,E14:E15)</f>
        <v>0.98424148961990421</v>
      </c>
      <c r="P14" s="166">
        <v>1.3755447178182631E-9</v>
      </c>
      <c r="Q14" s="161">
        <f t="array" ref="Q14:R14">LOGEST(I14:I15,E14:E15)</f>
        <v>0.98677328788241292</v>
      </c>
      <c r="R14" s="187">
        <v>1.4014584573745438E-9</v>
      </c>
      <c r="S14" s="166"/>
    </row>
    <row r="15" spans="1:19" ht="15" thickBot="1">
      <c r="E15" s="184">
        <v>550</v>
      </c>
      <c r="F15" s="161">
        <v>68.7</v>
      </c>
      <c r="G15" s="166">
        <f>0.0000000000000363*$B$34</f>
        <v>3.6300000000000001E-14</v>
      </c>
      <c r="H15" s="166">
        <f>0.000000000000221*$B$34</f>
        <v>2.2099999999999999E-13</v>
      </c>
      <c r="I15" s="166">
        <f>0.000000000000925*$B$34</f>
        <v>9.25E-13</v>
      </c>
      <c r="J15" s="166"/>
      <c r="K15" s="161">
        <f t="array" ref="K15:L15">LOGEST(F15:F16,E15:E16)</f>
        <v>1.0017028218724708</v>
      </c>
      <c r="L15" s="185">
        <v>26.950279165713035</v>
      </c>
      <c r="M15" s="186">
        <f t="array" ref="M15:N15">LOGEST(G15:G16,E15:E16)</f>
        <v>0.98470933069819921</v>
      </c>
      <c r="N15" s="166">
        <v>1.7397121696089749E-10</v>
      </c>
      <c r="O15" s="166">
        <f t="array" ref="O15:P15">LOGEST(H15:H16,E15:E16)</f>
        <v>0.98503762945483397</v>
      </c>
      <c r="P15" s="166">
        <v>8.8174001825821176E-10</v>
      </c>
      <c r="Q15" s="161">
        <f t="array" ref="Q15:R15">LOGEST(I15:I16,E15:E16)</f>
        <v>0.98733229452271587</v>
      </c>
      <c r="R15" s="187">
        <v>1.0263685655874676E-9</v>
      </c>
      <c r="S15" s="166"/>
    </row>
    <row r="16" spans="1:19">
      <c r="A16" s="191" t="s">
        <v>190</v>
      </c>
      <c r="B16" s="192">
        <f>VLOOKUP("Earth",Constants!K29:V39,11,FALSE)</f>
        <v>149600016.456</v>
      </c>
      <c r="C16" s="160" t="s">
        <v>1</v>
      </c>
      <c r="E16" s="184">
        <v>600</v>
      </c>
      <c r="F16" s="161">
        <v>74.8</v>
      </c>
      <c r="G16" s="166">
        <f>0.0000000000000168*$B$34</f>
        <v>1.6799999999999998E-14</v>
      </c>
      <c r="H16" s="166">
        <f>0.000000000000104*$B$34</f>
        <v>1.04E-13</v>
      </c>
      <c r="I16" s="166">
        <f>0.000000000000489*$B$34</f>
        <v>4.8900000000000004E-13</v>
      </c>
      <c r="J16" s="166"/>
      <c r="K16" s="161">
        <f t="array" ref="K16:L16">LOGEST(F16:F17,E16:E17)</f>
        <v>1.0024179087704428</v>
      </c>
      <c r="L16" s="185">
        <v>17.563514060429057</v>
      </c>
      <c r="M16" s="186">
        <f t="array" ref="M16:N16">LOGEST(G16:G17,E16:E17)</f>
        <v>0.98789943779896028</v>
      </c>
      <c r="N16" s="166">
        <v>2.4984249810371628E-11</v>
      </c>
      <c r="O16" s="166">
        <f t="array" ref="O16:P16">LOGEST(H16:H17,E16:E17)</f>
        <v>0.98604214505505416</v>
      </c>
      <c r="P16" s="166">
        <v>4.783509737758123E-10</v>
      </c>
      <c r="Q16" s="161">
        <f t="array" ref="Q16:R16">LOGEST(I16:I17,E16:E17)</f>
        <v>0.98774741403839106</v>
      </c>
      <c r="R16" s="187">
        <v>7.975685973417382E-10</v>
      </c>
      <c r="S16" s="166"/>
    </row>
    <row r="17" spans="1:23">
      <c r="A17" s="193" t="s">
        <v>191</v>
      </c>
      <c r="B17" s="161">
        <f>VLOOKUP("Earth",Constants!K29:V39,10,FALSE)</f>
        <v>365.25599999999997</v>
      </c>
      <c r="C17" s="165" t="s">
        <v>184</v>
      </c>
      <c r="E17" s="184">
        <v>650</v>
      </c>
      <c r="F17" s="161">
        <v>84.4</v>
      </c>
      <c r="G17" s="166">
        <f>0.00000000000000914*$B$34</f>
        <v>9.1399999999999994E-15</v>
      </c>
      <c r="H17" s="166">
        <f>0.0000000000000515*$B$34</f>
        <v>5.1500000000000001E-14</v>
      </c>
      <c r="I17" s="166">
        <f>0.000000000000264*$B$34</f>
        <v>2.6399999999999999E-13</v>
      </c>
      <c r="J17" s="166"/>
      <c r="K17" s="161">
        <f t="array" ref="K17:L17">LOGEST(F17:F18,E17:E18)</f>
        <v>1.0032568554554959</v>
      </c>
      <c r="L17" s="185">
        <v>10.196568057906818</v>
      </c>
      <c r="M17" s="186">
        <f t="array" ref="M17:N17">LOGEST(G17:G18,E17:E18)</f>
        <v>0.99073912500205386</v>
      </c>
      <c r="N17" s="166">
        <v>3.8671599834519859E-12</v>
      </c>
      <c r="O17" s="166">
        <f t="array" ref="O17:P17">LOGEST(H17:H18,E17:E18)</f>
        <v>0.98731385949615302</v>
      </c>
      <c r="P17" s="166">
        <v>2.0696907282656924E-10</v>
      </c>
      <c r="Q17" s="161">
        <f t="array" ref="Q17:R17">LOGEST(I17:I18,E17:E18)</f>
        <v>0.98835796872936854</v>
      </c>
      <c r="R17" s="187">
        <v>5.3373984411506108E-10</v>
      </c>
      <c r="S17" s="166"/>
    </row>
    <row r="18" spans="1:23">
      <c r="A18" s="193" t="s">
        <v>192</v>
      </c>
      <c r="B18" s="161">
        <f>VLOOKUP("Earth",Constants!K29:V39,7,FALSE)</f>
        <v>6378.1369999999997</v>
      </c>
      <c r="C18" s="165" t="s">
        <v>1</v>
      </c>
      <c r="E18" s="184">
        <v>700</v>
      </c>
      <c r="F18" s="161">
        <v>99.3</v>
      </c>
      <c r="G18" s="166">
        <f>0.00000000000000574*$B$34</f>
        <v>5.7400000000000002E-15</v>
      </c>
      <c r="H18" s="166">
        <f>0.0000000000000272*$B$34</f>
        <v>2.72E-14</v>
      </c>
      <c r="I18" s="166">
        <f>0.000000000000147*$B$34</f>
        <v>1.47E-13</v>
      </c>
      <c r="J18" s="166"/>
      <c r="K18" s="161">
        <f t="array" ref="K18:L18">LOGEST(F18:F19,E18:E19)</f>
        <v>1.0039607225025682</v>
      </c>
      <c r="L18" s="185">
        <v>6.2408471064885678</v>
      </c>
      <c r="M18" s="186">
        <f t="array" ref="M18:N18">LOGEST(G18:G19,E18:E19)</f>
        <v>0.99275302727877701</v>
      </c>
      <c r="N18" s="166">
        <v>9.33378614960351E-13</v>
      </c>
      <c r="O18" s="166">
        <f t="array" ref="O18:P18">LOGEST(H18:H19,E18:E19)</f>
        <v>0.98881547809545578</v>
      </c>
      <c r="P18" s="166">
        <v>7.1431502647818523E-11</v>
      </c>
      <c r="Q18" s="161">
        <f t="array" ref="Q18:R18">LOGEST(I18:I19,E18:E19)</f>
        <v>0.98879932770823109</v>
      </c>
      <c r="R18" s="187">
        <v>3.9048432895712179E-10</v>
      </c>
      <c r="S18" s="166"/>
    </row>
    <row r="19" spans="1:23">
      <c r="A19" s="193" t="s">
        <v>193</v>
      </c>
      <c r="B19" s="161">
        <f>VLOOKUP("Earth",Constants!K29:Q39,6,FALSE)</f>
        <v>398600.44179999997</v>
      </c>
      <c r="C19" s="165" t="s">
        <v>82</v>
      </c>
      <c r="E19" s="184">
        <v>750</v>
      </c>
      <c r="F19" s="161">
        <v>121</v>
      </c>
      <c r="G19" s="166">
        <f>0.00000000000000399*$B$34</f>
        <v>3.9899999999999998E-15</v>
      </c>
      <c r="H19" s="166">
        <f>0.0000000000000155*$B$34</f>
        <v>1.55E-14</v>
      </c>
      <c r="I19" s="166">
        <f>0.0000000000000837*$B$34</f>
        <v>8.3699999999999999E-14</v>
      </c>
      <c r="J19" s="166"/>
      <c r="K19" s="161">
        <f t="array" ref="K19:L19">LOGEST(F19:F20,E19:E20)</f>
        <v>1.0044396118292633</v>
      </c>
      <c r="L19" s="185">
        <v>4.3642710536346394</v>
      </c>
      <c r="M19" s="186">
        <f t="array" ref="M19:N19">LOGEST(G19:G20,E19:E20)</f>
        <v>0.99404575792898242</v>
      </c>
      <c r="N19" s="166">
        <v>3.5171481740108943E-13</v>
      </c>
      <c r="O19" s="166">
        <f t="array" ref="O19:P19">LOGEST(H19:H20,E19:E20)</f>
        <v>0.99052602759281694</v>
      </c>
      <c r="P19" s="166">
        <v>1.9539473795978207E-11</v>
      </c>
      <c r="Q19" s="161">
        <f t="array" ref="Q19:R19">LOGEST(I19:I20,E19:E20)</f>
        <v>0.98717643846556513</v>
      </c>
      <c r="R19" s="187">
        <v>1.3385651822102685E-9</v>
      </c>
      <c r="S19" s="166"/>
    </row>
    <row r="20" spans="1:23">
      <c r="A20" s="193" t="s">
        <v>194</v>
      </c>
      <c r="B20" s="161">
        <f>VLOOKUP("Earth",Constants!K29:V39,8,FALSE)</f>
        <v>1.0826359000000001E-3</v>
      </c>
      <c r="C20" s="165"/>
      <c r="E20" s="184">
        <v>800</v>
      </c>
      <c r="F20" s="161">
        <v>151</v>
      </c>
      <c r="G20" s="166">
        <f>0.00000000000000296*$B$34</f>
        <v>2.96E-15</v>
      </c>
      <c r="H20" s="166">
        <f>0.00000000000000963*$B$34</f>
        <v>9.6300000000000007E-15</v>
      </c>
      <c r="I20" s="166">
        <f>0.0000000000000439*$B$34</f>
        <v>4.3900000000000001E-14</v>
      </c>
      <c r="J20" s="166"/>
      <c r="K20" s="161">
        <f t="array" ref="K20:L20">LOGEST(F20:F21,E20:E21)</f>
        <v>1.0043928629789283</v>
      </c>
      <c r="L20" s="185">
        <v>4.5298363842453391</v>
      </c>
      <c r="M20" s="186">
        <f t="array" ref="M20:N20">LOGEST(G20:G21,E20:E21)</f>
        <v>0.99479332545704979</v>
      </c>
      <c r="N20" s="166">
        <v>1.9275317303929872E-13</v>
      </c>
      <c r="O20" s="166">
        <f t="array" ref="O20:P20">LOGEST(H20:H21,E20:E21)</f>
        <v>0.99207740813652334</v>
      </c>
      <c r="P20" s="166">
        <v>5.5869963858069021E-12</v>
      </c>
      <c r="Q20" s="161">
        <f t="array" ref="Q20:R20">LOGEST(I20:I21,E20:E21)</f>
        <v>0.99241457687135637</v>
      </c>
      <c r="R20" s="187">
        <v>1.9406926837156084E-11</v>
      </c>
      <c r="S20" s="166"/>
    </row>
    <row r="21" spans="1:23">
      <c r="A21" s="193" t="s">
        <v>195</v>
      </c>
      <c r="B21" s="194">
        <v>-3.3800000000000002E-3</v>
      </c>
      <c r="C21" s="165"/>
      <c r="E21" s="184">
        <v>850</v>
      </c>
      <c r="F21" s="161">
        <v>188</v>
      </c>
      <c r="G21" s="166">
        <f>0.00000000000000228*$B$34</f>
        <v>2.28E-15</v>
      </c>
      <c r="H21" s="166">
        <f>0.00000000000000647*$B$34</f>
        <v>6.4699999999999998E-15</v>
      </c>
      <c r="I21" s="166">
        <f>0.00000000000003*$B$34</f>
        <v>2.9999999999999998E-14</v>
      </c>
      <c r="J21" s="166"/>
      <c r="K21" s="161">
        <f t="array" ref="K21:L21">LOGEST(F21:F22,E21:E22)</f>
        <v>1.0036886471043338</v>
      </c>
      <c r="L21" s="185">
        <v>8.2223852494748488</v>
      </c>
      <c r="M21" s="186">
        <f t="array" ref="M21:N21">LOGEST(G21:G22,E21:E22)</f>
        <v>0.99528338277796058</v>
      </c>
      <c r="N21" s="166">
        <v>1.2682201794880647E-13</v>
      </c>
      <c r="O21" s="166">
        <f t="array" ref="O21:P21">LOGEST(H21:H22,E21:E22)</f>
        <v>0.99345827763426942</v>
      </c>
      <c r="P21" s="166">
        <v>1.7128387056351139E-12</v>
      </c>
      <c r="Q21" s="161">
        <f t="array" ref="Q21:R21">LOGEST(I21:I22,E21:E22)</f>
        <v>0.99101046870177212</v>
      </c>
      <c r="R21" s="187">
        <v>6.4656968987765573E-11</v>
      </c>
      <c r="S21" s="166"/>
    </row>
    <row r="22" spans="1:23">
      <c r="A22" s="193" t="s">
        <v>196</v>
      </c>
      <c r="B22" s="194">
        <v>-1.5399999999999999E-3</v>
      </c>
      <c r="C22" s="165"/>
      <c r="E22" s="184">
        <v>900</v>
      </c>
      <c r="F22" s="161">
        <v>226</v>
      </c>
      <c r="G22" s="166">
        <f>0.0000000000000018*$B$34</f>
        <v>1.8000000000000001E-15</v>
      </c>
      <c r="H22" s="166">
        <f>0.00000000000000466*$B$34</f>
        <v>4.66E-15</v>
      </c>
      <c r="I22" s="166">
        <f>0.0000000000000191*$B$34</f>
        <v>1.9099999999999999E-14</v>
      </c>
      <c r="J22" s="166"/>
      <c r="K22" s="161">
        <f t="array" ref="K22:L22">LOGEST(F22:F23,E22:E23)</f>
        <v>1.003036982975154</v>
      </c>
      <c r="L22" s="185">
        <v>14.75220269622452</v>
      </c>
      <c r="M22" s="186">
        <f t="array" ref="M22:N22">LOGEST(G22:G23,E22:E23)</f>
        <v>0.9955470727844663</v>
      </c>
      <c r="N22" s="166">
        <v>9.9920072216262486E-14</v>
      </c>
      <c r="O22" s="166">
        <f t="array" ref="O22:P22">LOGEST(H22:H23,E22:E23)</f>
        <v>0.99451731068445393</v>
      </c>
      <c r="P22" s="166">
        <v>6.5655891186421452E-13</v>
      </c>
      <c r="Q22" s="161">
        <f t="array" ref="Q22:R22">LOGEST(I22:I23,E22:E23)</f>
        <v>0.9918714896313483</v>
      </c>
      <c r="R22" s="187">
        <v>2.9591501382697513E-11</v>
      </c>
      <c r="S22" s="166"/>
    </row>
    <row r="23" spans="1:23">
      <c r="A23" s="193" t="s">
        <v>197</v>
      </c>
      <c r="B23" s="194">
        <v>1.6900000000000001E-3</v>
      </c>
      <c r="C23" s="165"/>
      <c r="E23" s="184">
        <v>950</v>
      </c>
      <c r="F23" s="161">
        <v>263</v>
      </c>
      <c r="G23" s="166">
        <f>0.00000000000000144*$B$34</f>
        <v>1.4399999999999999E-15</v>
      </c>
      <c r="H23" s="166">
        <f>0.00000000000000354*$B$34</f>
        <v>3.5399999999999999E-15</v>
      </c>
      <c r="I23" s="166">
        <f>0.0000000000000127*$B$34</f>
        <v>1.27E-14</v>
      </c>
      <c r="J23" s="166"/>
      <c r="K23" s="161">
        <f t="array" ref="K23:L23">LOGEST(F23:F24,E23:E24)</f>
        <v>1.0023669051507635</v>
      </c>
      <c r="L23" s="185">
        <v>27.833797269029549</v>
      </c>
      <c r="M23" s="186">
        <f t="array" ref="M23:N23">LOGEST(G23:G24,E23:E24)</f>
        <v>0.99585582360173075</v>
      </c>
      <c r="N23" s="166">
        <v>7.442493580643573E-14</v>
      </c>
      <c r="O23" s="166">
        <f t="array" ref="O23:P23">LOGEST(H23:H24,E23:E24)</f>
        <v>0.99524961630677777</v>
      </c>
      <c r="P23" s="166">
        <v>3.2627618699970499E-13</v>
      </c>
      <c r="Q23" s="161">
        <f t="array" ref="Q23:R23">LOGEST(I23:I24,E23:E24)</f>
        <v>0.99277988881129975</v>
      </c>
      <c r="R23" s="187">
        <v>1.2401704637977268E-11</v>
      </c>
      <c r="S23" s="166"/>
    </row>
    <row r="24" spans="1:23">
      <c r="A24" s="193" t="s">
        <v>198</v>
      </c>
      <c r="B24" s="194">
        <v>7.6999999999999996E-4</v>
      </c>
      <c r="C24" s="165"/>
      <c r="E24" s="184">
        <v>1000</v>
      </c>
      <c r="F24" s="161">
        <v>296</v>
      </c>
      <c r="G24" s="166">
        <f>0.00000000000000117*$B$34</f>
        <v>1.1700000000000001E-15</v>
      </c>
      <c r="H24" s="166">
        <f>0.00000000000000279*$B$34</f>
        <v>2.79E-15</v>
      </c>
      <c r="I24" s="166">
        <f>0.00000000000000884*$B$34</f>
        <v>8.8400000000000001E-15</v>
      </c>
      <c r="J24" s="166"/>
      <c r="K24" s="161">
        <f t="array" ref="K24:L24">LOGEST(F24:F25,E24:E25)</f>
        <v>1.0012844550870601</v>
      </c>
      <c r="L24" s="185">
        <v>82.000764796197444</v>
      </c>
      <c r="M24" s="186">
        <f t="array" ref="M24:N24">LOGEST(G24:G25,E24:E25)</f>
        <v>0.99633302076948493</v>
      </c>
      <c r="N24" s="166">
        <v>4.609584562287006E-14</v>
      </c>
      <c r="O24" s="166">
        <f t="array" ref="O24:P24">LOGEST(H24:H25,E24:E25)</f>
        <v>0.99632006130950868</v>
      </c>
      <c r="P24" s="166">
        <v>1.1135996896211084E-13</v>
      </c>
      <c r="Q24" s="161">
        <f t="array" ref="Q24:R24">LOGEST(I24:I25,E24:E25)</f>
        <v>0.99510152086947978</v>
      </c>
      <c r="R24" s="187">
        <v>1.1996712985778447E-12</v>
      </c>
      <c r="S24" s="166"/>
    </row>
    <row r="25" spans="1:23">
      <c r="A25" s="193" t="s">
        <v>199</v>
      </c>
      <c r="B25" s="195">
        <f>23+56/60+4/3600</f>
        <v>23.934444444444445</v>
      </c>
      <c r="C25" s="165" t="s">
        <v>188</v>
      </c>
      <c r="E25" s="184">
        <v>1250</v>
      </c>
      <c r="F25" s="161">
        <v>408</v>
      </c>
      <c r="G25" s="166">
        <f>0.000000000000000467*$B$34</f>
        <v>4.67E-16</v>
      </c>
      <c r="H25" s="166">
        <f>0.00000000000000111*$B$34</f>
        <v>1.1100000000000001E-15</v>
      </c>
      <c r="I25" s="166">
        <f>0.00000000000000259*$B$34</f>
        <v>2.5899999999999999E-15</v>
      </c>
      <c r="J25" s="166"/>
      <c r="K25" s="161">
        <f t="array" ref="K25:L25">LOGEST(F25:F26,E25:E26)</f>
        <v>1.0009397996995577</v>
      </c>
      <c r="L25" s="185">
        <v>126.09924038172402</v>
      </c>
      <c r="M25" s="186">
        <f t="array" ref="M25:N25">LOGEST(G25:G26,E25:E26)</f>
        <v>0.99717100936206238</v>
      </c>
      <c r="N25" s="166">
        <v>1.6116179776371475E-14</v>
      </c>
      <c r="O25" s="166">
        <f t="array" ref="O25:P25">LOGEST(H25:H26,E25:E26)</f>
        <v>0.99697911108488935</v>
      </c>
      <c r="P25" s="166">
        <v>4.8724709243963904E-14</v>
      </c>
      <c r="Q25" s="161">
        <f t="array" ref="Q25:R25">LOGEST(I25:I26,E25:E26)</f>
        <v>0.99699330113208129</v>
      </c>
      <c r="R25" s="187">
        <v>1.1168617847923854E-13</v>
      </c>
      <c r="S25" s="166"/>
    </row>
    <row r="26" spans="1:23" ht="15" thickBot="1">
      <c r="A26" s="193" t="s">
        <v>200</v>
      </c>
      <c r="B26" s="195">
        <f>VLOOKUP("Earth",Constants!K29:V39,9,FALSE)</f>
        <v>24</v>
      </c>
      <c r="C26" s="165" t="s">
        <v>188</v>
      </c>
      <c r="E26" s="199">
        <v>1500</v>
      </c>
      <c r="F26" s="200">
        <v>516</v>
      </c>
      <c r="G26" s="201">
        <f>0.00000000000000023*$B$34</f>
        <v>2.2999999999999999E-16</v>
      </c>
      <c r="H26" s="201">
        <f>0.000000000000000521*$B$34</f>
        <v>5.2099999999999999E-16</v>
      </c>
      <c r="I26" s="201">
        <f>0.00000000000000122*$B$34</f>
        <v>1.2199999999999999E-15</v>
      </c>
      <c r="J26" s="201"/>
      <c r="K26" s="200"/>
      <c r="L26" s="202"/>
      <c r="M26" s="203"/>
      <c r="N26" s="201"/>
      <c r="O26" s="201"/>
      <c r="P26" s="201"/>
      <c r="Q26" s="200"/>
      <c r="R26" s="202"/>
      <c r="S26" s="166"/>
    </row>
    <row r="27" spans="1:23">
      <c r="A27" s="163" t="s">
        <v>201</v>
      </c>
      <c r="B27" s="204">
        <f>2*PI()*Planet_Radius/24/60/60*1000</f>
        <v>463.8312116386399</v>
      </c>
      <c r="C27" s="165" t="s">
        <v>69</v>
      </c>
      <c r="M27" s="205"/>
      <c r="N27" s="205"/>
      <c r="O27" s="205"/>
      <c r="P27" s="205"/>
    </row>
    <row r="28" spans="1:23" ht="15" thickBot="1">
      <c r="A28" s="163" t="s">
        <v>202</v>
      </c>
      <c r="B28" s="206">
        <f>VLOOKUP("Earth",Constants!K29:V39,12,FALSE)</f>
        <v>7960000000000000</v>
      </c>
      <c r="C28" s="165" t="s">
        <v>83</v>
      </c>
      <c r="M28" s="205"/>
      <c r="N28" s="205"/>
      <c r="O28" s="205"/>
      <c r="P28" s="205"/>
    </row>
    <row r="29" spans="1:23" ht="15" thickTop="1">
      <c r="A29" s="193" t="s">
        <v>203</v>
      </c>
      <c r="B29" s="207">
        <f>VLOOKUP("Earth",Constants!K29:V39,3,FALSE)</f>
        <v>258</v>
      </c>
      <c r="C29" s="165" t="s">
        <v>84</v>
      </c>
      <c r="E29" s="602" t="s">
        <v>204</v>
      </c>
      <c r="F29" s="602"/>
      <c r="G29" s="602"/>
      <c r="H29" s="168"/>
      <c r="I29" s="208"/>
      <c r="K29" s="209" t="s">
        <v>205</v>
      </c>
      <c r="L29" s="210" t="s">
        <v>206</v>
      </c>
      <c r="M29" s="210" t="s">
        <v>207</v>
      </c>
      <c r="N29" s="210" t="s">
        <v>208</v>
      </c>
      <c r="O29" s="210" t="s">
        <v>209</v>
      </c>
      <c r="P29" s="210" t="s">
        <v>210</v>
      </c>
      <c r="Q29" s="210" t="s">
        <v>211</v>
      </c>
      <c r="R29" s="210" t="s">
        <v>212</v>
      </c>
      <c r="S29" s="210" t="s">
        <v>213</v>
      </c>
      <c r="T29" s="210" t="s">
        <v>214</v>
      </c>
      <c r="U29" s="168" t="s">
        <v>190</v>
      </c>
      <c r="V29" s="211" t="s">
        <v>215</v>
      </c>
      <c r="W29" s="212" t="s">
        <v>216</v>
      </c>
    </row>
    <row r="30" spans="1:23">
      <c r="A30" s="193" t="s">
        <v>217</v>
      </c>
      <c r="B30" s="207">
        <f>VLOOKUP("Earth",Constants!K29:V39,4,FALSE)</f>
        <v>216</v>
      </c>
      <c r="C30" s="165" t="s">
        <v>84</v>
      </c>
      <c r="E30" s="184"/>
      <c r="F30" s="183" t="s">
        <v>87</v>
      </c>
      <c r="I30" s="165" t="s">
        <v>87</v>
      </c>
      <c r="K30" s="213" t="s">
        <v>218</v>
      </c>
      <c r="L30" s="183">
        <v>0.3871</v>
      </c>
      <c r="M30" s="183"/>
      <c r="N30" s="183"/>
      <c r="O30" s="183">
        <v>0.14199999999999999</v>
      </c>
      <c r="P30" s="183">
        <v>22032.1</v>
      </c>
      <c r="Q30" s="183">
        <v>2439.6999999999998</v>
      </c>
      <c r="R30" s="183">
        <f>0.00006</f>
        <v>6.0000000000000002E-5</v>
      </c>
      <c r="S30" s="161">
        <v>1408</v>
      </c>
      <c r="T30" s="183">
        <v>87.968999999999994</v>
      </c>
      <c r="U30" s="161">
        <v>57909999.928000003</v>
      </c>
      <c r="V30" s="166">
        <v>0</v>
      </c>
      <c r="W30" s="214"/>
    </row>
    <row r="31" spans="1:23">
      <c r="A31" s="193" t="s">
        <v>219</v>
      </c>
      <c r="B31" s="164">
        <v>1418</v>
      </c>
      <c r="C31" s="165" t="s">
        <v>84</v>
      </c>
      <c r="E31" s="184"/>
      <c r="F31" s="183" t="s">
        <v>88</v>
      </c>
      <c r="I31" s="165" t="s">
        <v>88</v>
      </c>
      <c r="K31" s="213" t="s">
        <v>220</v>
      </c>
      <c r="L31" s="183">
        <v>0.72330000000000005</v>
      </c>
      <c r="M31" s="183"/>
      <c r="N31" s="183"/>
      <c r="O31" s="183"/>
      <c r="P31" s="183">
        <v>324858.59169999999</v>
      </c>
      <c r="Q31" s="183">
        <v>6051.8</v>
      </c>
      <c r="R31" s="183">
        <v>4.4580000000000003E-6</v>
      </c>
      <c r="S31" s="161">
        <v>5832</v>
      </c>
      <c r="T31" s="183">
        <v>224.70099999999999</v>
      </c>
      <c r="U31" s="161">
        <v>108208969.704</v>
      </c>
      <c r="V31" s="166">
        <v>0</v>
      </c>
      <c r="W31" s="214"/>
    </row>
    <row r="32" spans="1:23">
      <c r="A32" s="193" t="s">
        <v>221</v>
      </c>
      <c r="B32" s="215">
        <f>VLOOKUP("Earth",Constants!K29:V39,5,FALSE)</f>
        <v>0.34</v>
      </c>
      <c r="C32" s="165"/>
      <c r="E32" s="184" t="s">
        <v>4</v>
      </c>
      <c r="F32" s="216">
        <v>0.26700000000000002</v>
      </c>
      <c r="H32" s="194" t="s">
        <v>89</v>
      </c>
      <c r="I32" s="217">
        <v>7.4999999999999997E-2</v>
      </c>
      <c r="K32" s="213" t="s">
        <v>222</v>
      </c>
      <c r="L32" s="183">
        <v>1</v>
      </c>
      <c r="M32" s="183">
        <v>258</v>
      </c>
      <c r="N32" s="183">
        <v>216</v>
      </c>
      <c r="O32" s="183">
        <v>0.34</v>
      </c>
      <c r="P32" s="183">
        <v>398600.44179999997</v>
      </c>
      <c r="Q32" s="183">
        <v>6378.1369999999997</v>
      </c>
      <c r="R32" s="183">
        <v>1.0826359000000001E-3</v>
      </c>
      <c r="S32" s="161">
        <v>24</v>
      </c>
      <c r="T32" s="183">
        <v>365.25599999999997</v>
      </c>
      <c r="U32" s="161">
        <v>149600016.456</v>
      </c>
      <c r="V32" s="206">
        <v>7960000000000000</v>
      </c>
      <c r="W32" s="214">
        <v>1</v>
      </c>
    </row>
    <row r="33" spans="1:33">
      <c r="A33" s="163" t="s">
        <v>223</v>
      </c>
      <c r="B33" s="164">
        <v>1367</v>
      </c>
      <c r="C33" s="165" t="s">
        <v>84</v>
      </c>
      <c r="E33" s="184" t="s">
        <v>90</v>
      </c>
      <c r="F33" s="216">
        <v>0.217</v>
      </c>
      <c r="H33" s="194" t="s">
        <v>91</v>
      </c>
      <c r="I33" s="217">
        <v>0.08</v>
      </c>
      <c r="K33" s="213" t="s">
        <v>224</v>
      </c>
      <c r="L33" s="183">
        <v>1.00257</v>
      </c>
      <c r="M33" s="183">
        <v>1226</v>
      </c>
      <c r="N33" s="183">
        <v>5.2</v>
      </c>
      <c r="O33" s="183">
        <v>7.2999999999999995E-2</v>
      </c>
      <c r="P33" s="183">
        <v>4902</v>
      </c>
      <c r="Q33" s="183">
        <v>1737</v>
      </c>
      <c r="R33" s="183">
        <v>2.0269999999999999E-4</v>
      </c>
      <c r="S33" s="161">
        <f>27*S32</f>
        <v>648</v>
      </c>
      <c r="T33" s="183">
        <f>655.728/24</f>
        <v>27.321999999999999</v>
      </c>
      <c r="U33" s="161">
        <v>149600000</v>
      </c>
      <c r="V33" s="166">
        <v>0</v>
      </c>
      <c r="W33" s="214">
        <v>1.0000000000000001E-43</v>
      </c>
    </row>
    <row r="34" spans="1:33" ht="15" thickBot="1">
      <c r="A34" s="196" t="s">
        <v>225</v>
      </c>
      <c r="B34" s="218">
        <f>VLOOKUP("Earth",Constants!K29:W39,13,FALSE)</f>
        <v>1</v>
      </c>
      <c r="C34" s="198"/>
      <c r="E34" s="219" t="s">
        <v>92</v>
      </c>
      <c r="F34" s="216">
        <v>3.4000000000000002E-2</v>
      </c>
      <c r="H34" s="194" t="s">
        <v>65</v>
      </c>
      <c r="I34" s="217">
        <v>3.6999999999999998E-2</v>
      </c>
      <c r="K34" s="213" t="s">
        <v>226</v>
      </c>
      <c r="L34" s="183">
        <v>1.524</v>
      </c>
      <c r="M34" s="183">
        <v>390</v>
      </c>
      <c r="N34" s="183">
        <v>30</v>
      </c>
      <c r="O34" s="183">
        <v>0.28999999999999998</v>
      </c>
      <c r="P34" s="183">
        <v>42828</v>
      </c>
      <c r="Q34" s="183">
        <v>3390</v>
      </c>
      <c r="R34" s="183">
        <v>1.9604499999999999E-3</v>
      </c>
      <c r="S34" s="161">
        <v>25</v>
      </c>
      <c r="T34" s="183">
        <v>686.98</v>
      </c>
      <c r="U34" s="161">
        <v>227939881.57600001</v>
      </c>
      <c r="V34" s="161">
        <v>0</v>
      </c>
      <c r="W34" s="214">
        <v>0.1</v>
      </c>
    </row>
    <row r="35" spans="1:33" ht="15" thickBot="1">
      <c r="E35" s="220" t="s">
        <v>67</v>
      </c>
      <c r="F35" s="221">
        <v>0.27900000000000003</v>
      </c>
      <c r="G35" s="200"/>
      <c r="H35" s="200"/>
      <c r="I35" s="202"/>
      <c r="K35" s="213" t="s">
        <v>227</v>
      </c>
      <c r="L35" s="183">
        <v>5.2</v>
      </c>
      <c r="M35" s="183"/>
      <c r="N35" s="183"/>
      <c r="O35" s="183"/>
      <c r="P35" s="183">
        <v>126712762.59999999</v>
      </c>
      <c r="Q35" s="183">
        <v>71492</v>
      </c>
      <c r="R35" s="183">
        <v>1.4736000000000001E-2</v>
      </c>
      <c r="S35" s="161">
        <v>10</v>
      </c>
      <c r="T35" s="183">
        <v>4332.5889999999999</v>
      </c>
      <c r="U35" s="161">
        <v>778423106.296</v>
      </c>
      <c r="V35" s="161">
        <v>0</v>
      </c>
      <c r="W35" s="214">
        <v>0</v>
      </c>
    </row>
    <row r="36" spans="1:33" ht="15" thickBot="1">
      <c r="K36" s="213" t="s">
        <v>228</v>
      </c>
      <c r="L36" s="183">
        <v>9.5399999999999991</v>
      </c>
      <c r="M36" s="183"/>
      <c r="N36" s="183"/>
      <c r="O36" s="183"/>
      <c r="P36" s="183">
        <v>37940584.899999999</v>
      </c>
      <c r="Q36" s="183">
        <v>60268</v>
      </c>
      <c r="R36" s="183">
        <v>1.6298E-2</v>
      </c>
      <c r="S36" s="161">
        <v>11</v>
      </c>
      <c r="T36" s="183">
        <v>10759.22</v>
      </c>
      <c r="U36" s="161">
        <v>1426745719.872</v>
      </c>
      <c r="V36" s="161">
        <v>0</v>
      </c>
      <c r="W36" s="214">
        <v>0</v>
      </c>
    </row>
    <row r="37" spans="1:33" ht="15" thickBot="1">
      <c r="A37" s="222" t="s">
        <v>85</v>
      </c>
      <c r="B37" s="189">
        <v>290</v>
      </c>
      <c r="C37" s="190" t="s">
        <v>40</v>
      </c>
      <c r="K37" s="213" t="s">
        <v>229</v>
      </c>
      <c r="L37" s="183">
        <v>19.18</v>
      </c>
      <c r="M37" s="183"/>
      <c r="N37" s="183"/>
      <c r="O37" s="183"/>
      <c r="P37" s="183">
        <v>5794549</v>
      </c>
      <c r="Q37" s="183">
        <v>25559</v>
      </c>
      <c r="R37" s="183">
        <v>3.3434300000000001E-3</v>
      </c>
      <c r="S37" s="161">
        <v>17</v>
      </c>
      <c r="T37" s="183">
        <v>30685.4</v>
      </c>
      <c r="U37" s="161">
        <v>2871013083.9280005</v>
      </c>
      <c r="V37" s="161">
        <v>0</v>
      </c>
      <c r="W37" s="214">
        <v>0</v>
      </c>
    </row>
    <row r="38" spans="1:33" ht="15" thickBot="1">
      <c r="E38" s="602" t="s">
        <v>230</v>
      </c>
      <c r="F38" s="602"/>
      <c r="G38" s="208"/>
      <c r="K38" s="213" t="s">
        <v>231</v>
      </c>
      <c r="L38" s="183">
        <v>30.06</v>
      </c>
      <c r="M38" s="183"/>
      <c r="N38" s="183"/>
      <c r="O38" s="183"/>
      <c r="P38" s="183">
        <v>6836527</v>
      </c>
      <c r="Q38" s="183">
        <v>24764</v>
      </c>
      <c r="R38" s="183">
        <v>3.411E-3</v>
      </c>
      <c r="S38" s="161">
        <v>16</v>
      </c>
      <c r="T38" s="183">
        <v>60189</v>
      </c>
      <c r="U38" s="161">
        <v>4498316936.6079998</v>
      </c>
      <c r="V38" s="161">
        <v>0</v>
      </c>
      <c r="W38" s="214">
        <v>0</v>
      </c>
    </row>
    <row r="39" spans="1:33" ht="15" thickBot="1">
      <c r="A39" s="222" t="s">
        <v>86</v>
      </c>
      <c r="B39" s="189">
        <f>0.3048/12</f>
        <v>2.5400000000000002E-2</v>
      </c>
      <c r="C39" s="190" t="s">
        <v>14</v>
      </c>
      <c r="E39" s="184"/>
      <c r="F39" s="223" t="s">
        <v>93</v>
      </c>
      <c r="G39" s="182"/>
      <c r="K39" s="224" t="s">
        <v>232</v>
      </c>
      <c r="L39" s="225">
        <v>39.44</v>
      </c>
      <c r="M39" s="225"/>
      <c r="N39" s="225"/>
      <c r="O39" s="225"/>
      <c r="P39" s="225">
        <v>971.78</v>
      </c>
      <c r="Q39" s="225">
        <v>1195</v>
      </c>
      <c r="R39" s="225"/>
      <c r="S39" s="200"/>
      <c r="T39" s="225"/>
      <c r="U39" s="200">
        <v>5906460340.7920008</v>
      </c>
      <c r="V39" s="226">
        <v>0</v>
      </c>
      <c r="W39" s="227">
        <v>0</v>
      </c>
    </row>
    <row r="40" spans="1:33" ht="15" thickBot="1">
      <c r="A40" s="222" t="s">
        <v>233</v>
      </c>
      <c r="B40" s="228">
        <v>57.2958</v>
      </c>
      <c r="C40" s="229" t="s">
        <v>25</v>
      </c>
      <c r="E40" s="184"/>
      <c r="F40" s="183" t="s">
        <v>79</v>
      </c>
      <c r="G40" s="165" t="s">
        <v>81</v>
      </c>
    </row>
    <row r="41" spans="1:33">
      <c r="E41" s="184" t="s">
        <v>4</v>
      </c>
      <c r="F41" s="216">
        <v>0.2</v>
      </c>
      <c r="G41" s="217">
        <v>0.8</v>
      </c>
    </row>
    <row r="42" spans="1:33">
      <c r="E42" s="184" t="s">
        <v>65</v>
      </c>
      <c r="F42" s="216">
        <v>0.01</v>
      </c>
      <c r="G42" s="217">
        <v>0.05</v>
      </c>
      <c r="T42" s="205"/>
      <c r="U42" s="166"/>
    </row>
    <row r="43" spans="1:33">
      <c r="E43" s="184" t="s">
        <v>94</v>
      </c>
      <c r="F43" s="216">
        <v>0.05</v>
      </c>
      <c r="G43" s="217">
        <v>0.15</v>
      </c>
      <c r="M43" s="205"/>
      <c r="N43" s="205"/>
      <c r="O43" s="205"/>
      <c r="P43" s="205"/>
      <c r="T43" s="205"/>
      <c r="U43" s="166"/>
    </row>
    <row r="44" spans="1:33" ht="15" thickBot="1">
      <c r="E44" s="219" t="s">
        <v>66</v>
      </c>
      <c r="F44" s="230">
        <v>0.04</v>
      </c>
      <c r="G44" s="231">
        <v>0.15</v>
      </c>
      <c r="M44" s="205"/>
      <c r="N44" s="205"/>
      <c r="O44" s="205"/>
      <c r="P44" s="205"/>
      <c r="T44" s="205"/>
      <c r="U44" s="166"/>
    </row>
    <row r="45" spans="1:33" ht="15" thickBot="1">
      <c r="E45" s="219" t="s">
        <v>95</v>
      </c>
      <c r="F45" s="230">
        <v>0.04</v>
      </c>
      <c r="G45" s="231">
        <v>0.1</v>
      </c>
      <c r="M45" s="205"/>
      <c r="N45" s="205"/>
      <c r="O45" s="205"/>
      <c r="P45" s="205"/>
      <c r="R45" s="603" t="s">
        <v>234</v>
      </c>
      <c r="S45" s="605" t="s">
        <v>235</v>
      </c>
      <c r="T45" s="605" t="s">
        <v>236</v>
      </c>
      <c r="U45" s="605" t="s">
        <v>237</v>
      </c>
      <c r="V45" s="605" t="s">
        <v>238</v>
      </c>
      <c r="W45" s="605" t="s">
        <v>239</v>
      </c>
      <c r="X45" s="598" t="s">
        <v>240</v>
      </c>
      <c r="Y45" s="599"/>
      <c r="Z45" s="598" t="s">
        <v>241</v>
      </c>
      <c r="AA45" s="600"/>
      <c r="AE45" s="232"/>
      <c r="AF45" s="233" t="s">
        <v>242</v>
      </c>
      <c r="AG45" s="234"/>
    </row>
    <row r="46" spans="1:33" ht="68.7" thickBot="1">
      <c r="E46" s="219" t="s">
        <v>92</v>
      </c>
      <c r="F46" s="230">
        <v>0.01</v>
      </c>
      <c r="G46" s="231">
        <v>0.05</v>
      </c>
      <c r="M46" s="205"/>
      <c r="N46" s="205"/>
      <c r="O46" s="205"/>
      <c r="P46" s="205"/>
      <c r="R46" s="604"/>
      <c r="S46" s="606"/>
      <c r="T46" s="606"/>
      <c r="U46" s="606"/>
      <c r="V46" s="606"/>
      <c r="W46" s="606"/>
      <c r="X46" s="235" t="s">
        <v>243</v>
      </c>
      <c r="Y46" s="235" t="s">
        <v>244</v>
      </c>
      <c r="Z46" s="235" t="s">
        <v>243</v>
      </c>
      <c r="AA46" s="236" t="s">
        <v>244</v>
      </c>
      <c r="AE46" s="237" t="s">
        <v>245</v>
      </c>
      <c r="AF46" s="238">
        <v>86400</v>
      </c>
      <c r="AG46" s="239" t="s">
        <v>246</v>
      </c>
    </row>
    <row r="47" spans="1:33">
      <c r="E47" s="219" t="s">
        <v>67</v>
      </c>
      <c r="F47" s="216">
        <v>0.05</v>
      </c>
      <c r="G47" s="217">
        <v>0.3</v>
      </c>
      <c r="M47" s="205"/>
      <c r="N47" s="205"/>
      <c r="O47" s="205"/>
      <c r="P47" s="205"/>
      <c r="R47" s="240" t="s">
        <v>218</v>
      </c>
      <c r="S47" s="241">
        <v>0.38709893000000001</v>
      </c>
      <c r="T47" s="242">
        <f>(2*PI()*SQRT((S47*Constants!$AF$47)^3/Constants!$AF$48))/(Constants!$AF$46)</f>
        <v>87.969350032590356</v>
      </c>
      <c r="U47" s="243">
        <f>1/ABS(1/$T$49-1/T47)</f>
        <v>115.87758071508175</v>
      </c>
      <c r="V47" s="242">
        <f>(PI()*SQRT(((S47*Constants!$AF$47+$S$49*Constants!$AF$47)/2)^3/Constants!$AF$48))/(Constants!$AF$46)</f>
        <v>105.48352743700951</v>
      </c>
      <c r="W47" s="244">
        <v>36934</v>
      </c>
      <c r="X47" s="242">
        <f>-(180-V47*(360/T47))/((360/$T$49)-(360/T47))</f>
        <v>-81.009331461765981</v>
      </c>
      <c r="Y47" s="242">
        <f>(180-V47*(360/$T$49))/((360/T47)-(360/$T$49))</f>
        <v>24.474195975243532</v>
      </c>
      <c r="Z47" s="242">
        <f>-(180-V47*(360/$T$49))/((360/T47)-(360/$T$49))</f>
        <v>-24.474195975243532</v>
      </c>
      <c r="AA47" s="245">
        <f>(180-V47*(360/T47))/((360/$T$49)-(360/T47))</f>
        <v>81.009331461765981</v>
      </c>
      <c r="AE47" s="246" t="s">
        <v>247</v>
      </c>
      <c r="AF47" s="247">
        <v>149597870700</v>
      </c>
      <c r="AG47" s="239" t="s">
        <v>14</v>
      </c>
    </row>
    <row r="48" spans="1:33" ht="15" thickBot="1">
      <c r="E48" s="220" t="s">
        <v>90</v>
      </c>
      <c r="F48" s="248">
        <v>0</v>
      </c>
      <c r="G48" s="249">
        <v>0</v>
      </c>
      <c r="M48" s="205"/>
      <c r="N48" s="205"/>
      <c r="O48" s="205"/>
      <c r="P48" s="205"/>
      <c r="R48" s="240" t="s">
        <v>220</v>
      </c>
      <c r="S48" s="241">
        <v>0.72332198999999997</v>
      </c>
      <c r="T48" s="242">
        <f>(2*PI()*SQRT((S48*Constants!$AF$47)^3/Constants!$AF$48))/(Constants!$AF$46)</f>
        <v>224.69630437900872</v>
      </c>
      <c r="U48" s="243">
        <f>1/ABS(1/$T$49-1/T48)</f>
        <v>583.88949029003663</v>
      </c>
      <c r="V48" s="242">
        <f>(PI()*SQRT(((S48*Constants!$AF$47+$S$49*Constants!$AF$47)/2)^3/Constants!$AF$48))/(Constants!$AF$46)</f>
        <v>146.07406795499011</v>
      </c>
      <c r="W48" s="244">
        <v>36979</v>
      </c>
      <c r="X48" s="242">
        <f>-(180-V48*(360/T48))/((360/$T$49)-(360/T48))</f>
        <v>-87.639215163317331</v>
      </c>
      <c r="Y48" s="242">
        <f>(180-V48*(360/$T$49))/((360/T48)-(360/$T$49))</f>
        <v>58.434852791672817</v>
      </c>
      <c r="Z48" s="242">
        <f>-(180-V48*(360/$T$49))/((360/T48)-(360/$T$49))</f>
        <v>-58.434852791672817</v>
      </c>
      <c r="AA48" s="245">
        <f>(180-V48*(360/T48))/((360/$T$49)-(360/T48))</f>
        <v>87.639215163317331</v>
      </c>
      <c r="AE48" s="250" t="s">
        <v>248</v>
      </c>
      <c r="AF48" s="247">
        <v>1.3271244004099999E+20</v>
      </c>
      <c r="AG48" s="239" t="s">
        <v>249</v>
      </c>
    </row>
    <row r="49" spans="5:44">
      <c r="E49" s="194"/>
      <c r="M49" s="205"/>
      <c r="N49" s="205"/>
      <c r="O49" s="205"/>
      <c r="P49" s="205"/>
      <c r="R49" s="240" t="s">
        <v>222</v>
      </c>
      <c r="S49" s="241">
        <f>Constants!$AF$49</f>
        <v>1.00000011</v>
      </c>
      <c r="T49" s="242">
        <f>Constants!$AF$50</f>
        <v>365.25695859501076</v>
      </c>
      <c r="U49" s="243" t="s">
        <v>250</v>
      </c>
      <c r="V49" s="242" t="s">
        <v>250</v>
      </c>
      <c r="W49" s="244" t="s">
        <v>250</v>
      </c>
      <c r="X49" s="242" t="s">
        <v>250</v>
      </c>
      <c r="Y49" s="242" t="s">
        <v>250</v>
      </c>
      <c r="Z49" s="242" t="s">
        <v>250</v>
      </c>
      <c r="AA49" s="245" t="s">
        <v>250</v>
      </c>
      <c r="AE49" s="246" t="s">
        <v>251</v>
      </c>
      <c r="AF49" s="251">
        <v>1.00000011</v>
      </c>
      <c r="AG49" s="239" t="s">
        <v>206</v>
      </c>
    </row>
    <row r="50" spans="5:44" ht="15" thickBot="1">
      <c r="E50" s="194"/>
      <c r="M50" s="205"/>
      <c r="N50" s="205"/>
      <c r="O50" s="205"/>
      <c r="P50" s="205"/>
      <c r="R50" s="240" t="s">
        <v>226</v>
      </c>
      <c r="S50" s="241">
        <v>1.52366231</v>
      </c>
      <c r="T50" s="242">
        <f>(2*PI()*SQRT((S50*Constants!$AF$47)^3/Constants!$AF$48))/(Constants!$AF$46)</f>
        <v>686.96010146414244</v>
      </c>
      <c r="U50" s="243">
        <f t="shared" ref="U50:U58" si="0">1/ABS(1/$T$49-1/T50)</f>
        <v>779.96427109506135</v>
      </c>
      <c r="V50" s="242">
        <f>(PI()*SQRT(((S50*Constants!$AF$47+$S$49*Constants!$AF$47)/2)^3/Constants!$AF$48))/(Constants!$AF$46)</f>
        <v>258.86320786537374</v>
      </c>
      <c r="W50" s="244">
        <v>37055</v>
      </c>
      <c r="X50" s="242">
        <f t="shared" ref="X50:X58" si="1">-(180-V50*(360/T50))/((360/$T$49)-(360/T50))</f>
        <v>-96.072703535802034</v>
      </c>
      <c r="Y50" s="242">
        <f t="shared" ref="Y50:Y58" si="2">(180-V50*(360/$T$49))/((360/T50)-(360/$T$49))</f>
        <v>162.79050432957169</v>
      </c>
      <c r="Z50" s="242">
        <f t="shared" ref="Z50:Z58" si="3">-(180-V50*(360/$T$49))/((360/T50)-(360/$T$49))</f>
        <v>-162.79050432957169</v>
      </c>
      <c r="AA50" s="245">
        <f t="shared" ref="AA50:AA58" si="4">(180-V50*(360/T50))/((360/$T$49)-(360/T50))</f>
        <v>96.072703535802034</v>
      </c>
      <c r="AE50" s="252" t="s">
        <v>252</v>
      </c>
      <c r="AF50" s="253">
        <f>(2*PI()*SQRT((AF49*AF47)^3/AF48))/AF46</f>
        <v>365.25695859501076</v>
      </c>
      <c r="AG50" s="254" t="s">
        <v>184</v>
      </c>
    </row>
    <row r="51" spans="5:44">
      <c r="E51" s="607" t="s">
        <v>253</v>
      </c>
      <c r="F51" s="608"/>
      <c r="G51" s="168"/>
      <c r="H51" s="168"/>
      <c r="I51" s="168"/>
      <c r="J51" s="168"/>
      <c r="K51" s="168"/>
      <c r="L51" s="168"/>
      <c r="M51" s="255"/>
      <c r="N51" s="205"/>
      <c r="O51" s="205"/>
      <c r="P51" s="205"/>
      <c r="R51" s="240" t="s">
        <v>254</v>
      </c>
      <c r="S51" s="241">
        <v>2.3619373000000001</v>
      </c>
      <c r="T51" s="242">
        <f>(2*PI()*SQRT((S51*Constants!$AF$47)^3/Constants!$AF$48))/(Constants!$AF$46)</f>
        <v>1325.870090826832</v>
      </c>
      <c r="U51" s="243">
        <f t="shared" si="0"/>
        <v>504.13976305148924</v>
      </c>
      <c r="V51" s="242">
        <f>(PI()*SQRT(((S51*Constants!$AF$47+$S$49*Constants!$AF$47)/2)^3/Constants!$AF$48))/(Constants!$AF$46)</f>
        <v>398.02272932952252</v>
      </c>
      <c r="W51" s="244">
        <v>37229.789385077936</v>
      </c>
      <c r="X51" s="242">
        <f t="shared" si="1"/>
        <v>-100.72844480311778</v>
      </c>
      <c r="Y51" s="242">
        <f t="shared" si="2"/>
        <v>297.29428452640474</v>
      </c>
      <c r="Z51" s="242">
        <f t="shared" si="3"/>
        <v>-297.29428452640474</v>
      </c>
      <c r="AA51" s="245">
        <f t="shared" si="4"/>
        <v>100.72844480311778</v>
      </c>
    </row>
    <row r="52" spans="5:44">
      <c r="E52" s="184"/>
      <c r="K52" s="183" t="s">
        <v>96</v>
      </c>
      <c r="M52" s="187"/>
      <c r="N52" s="205"/>
      <c r="O52" s="205"/>
      <c r="P52" s="205"/>
      <c r="R52" s="240" t="s">
        <v>255</v>
      </c>
      <c r="S52" s="241">
        <v>2.7657232</v>
      </c>
      <c r="T52" s="242">
        <f>(2*PI()*SQRT((S52*Constants!$AF$47)^3/Constants!$AF$48))/(Constants!$AF$46)</f>
        <v>1680.0085655681798</v>
      </c>
      <c r="U52" s="243">
        <f t="shared" si="0"/>
        <v>466.73060965919996</v>
      </c>
      <c r="V52" s="242">
        <f>(PI()*SQRT(((S52*Constants!$AF$47+$S$49*Constants!$AF$47)/2)^3/Constants!$AF$48))/(Constants!$AF$46)</f>
        <v>471.84140424157761</v>
      </c>
      <c r="W52" s="244">
        <v>37068.853999999999</v>
      </c>
      <c r="X52" s="242">
        <f t="shared" si="1"/>
        <v>-102.28095753661755</v>
      </c>
      <c r="Y52" s="242">
        <f t="shared" si="2"/>
        <v>369.5604467049601</v>
      </c>
      <c r="Z52" s="242">
        <f t="shared" si="3"/>
        <v>-369.5604467049601</v>
      </c>
      <c r="AA52" s="245">
        <f t="shared" si="4"/>
        <v>102.28095753661755</v>
      </c>
    </row>
    <row r="53" spans="5:44">
      <c r="E53" s="184"/>
      <c r="F53" s="183" t="s">
        <v>97</v>
      </c>
      <c r="G53" s="183" t="s">
        <v>98</v>
      </c>
      <c r="H53" s="183" t="s">
        <v>99</v>
      </c>
      <c r="I53" s="256" t="s">
        <v>100</v>
      </c>
      <c r="K53" s="183" t="s">
        <v>101</v>
      </c>
      <c r="L53" s="183" t="s">
        <v>102</v>
      </c>
      <c r="M53" s="165" t="s">
        <v>103</v>
      </c>
      <c r="N53" s="205"/>
      <c r="O53" s="205"/>
      <c r="P53" s="205"/>
      <c r="R53" s="240" t="s">
        <v>227</v>
      </c>
      <c r="S53" s="241">
        <v>5.2033630100000003</v>
      </c>
      <c r="T53" s="242">
        <f>(2*PI()*SQRT((S53*Constants!$AF$47)^3/Constants!$AF$48))/(Constants!$AF$46)</f>
        <v>4335.3544947561722</v>
      </c>
      <c r="U53" s="243">
        <f t="shared" si="0"/>
        <v>398.86133344648584</v>
      </c>
      <c r="V53" s="242">
        <f>(PI()*SQRT(((S53*Constants!$AF$47+$S$49*Constants!$AF$47)/2)^3/Constants!$AF$48))/(Constants!$AF$46)</f>
        <v>997.61792386016691</v>
      </c>
      <c r="W53" s="244">
        <v>37257</v>
      </c>
      <c r="X53" s="242">
        <f t="shared" si="1"/>
        <v>-107.64781116615426</v>
      </c>
      <c r="Y53" s="242">
        <f t="shared" si="2"/>
        <v>889.97011269401264</v>
      </c>
      <c r="Z53" s="242">
        <f t="shared" si="3"/>
        <v>-889.97011269401264</v>
      </c>
      <c r="AA53" s="245">
        <f t="shared" si="4"/>
        <v>107.64781116615426</v>
      </c>
    </row>
    <row r="54" spans="5:44">
      <c r="E54" s="184"/>
      <c r="M54" s="187"/>
      <c r="N54" s="205"/>
      <c r="O54" s="205"/>
      <c r="P54" s="205"/>
      <c r="R54" s="240" t="s">
        <v>228</v>
      </c>
      <c r="S54" s="241">
        <v>9.5370703199999998</v>
      </c>
      <c r="T54" s="242">
        <f>(2*PI()*SQRT((S54*Constants!$AF$47)^3/Constants!$AF$48))/(Constants!$AF$46)</f>
        <v>10757.736541389115</v>
      </c>
      <c r="U54" s="243">
        <f t="shared" si="0"/>
        <v>378.09438057301077</v>
      </c>
      <c r="V54" s="242">
        <f>(PI()*SQRT(((S54*Constants!$AF$47+$S$49*Constants!$AF$47)/2)^3/Constants!$AF$48))/(Constants!$AF$46)</f>
        <v>2208.5297919799127</v>
      </c>
      <c r="W54" s="244">
        <v>37228</v>
      </c>
      <c r="X54" s="242">
        <f t="shared" si="1"/>
        <v>-111.42559205689675</v>
      </c>
      <c r="Y54" s="242">
        <f t="shared" si="2"/>
        <v>2097.104199923016</v>
      </c>
      <c r="Z54" s="242">
        <f t="shared" si="3"/>
        <v>-2097.104199923016</v>
      </c>
      <c r="AA54" s="245">
        <f t="shared" si="4"/>
        <v>111.42559205689675</v>
      </c>
    </row>
    <row r="55" spans="5:44">
      <c r="E55" s="184" t="s">
        <v>104</v>
      </c>
      <c r="F55" s="207">
        <v>2</v>
      </c>
      <c r="G55" s="207">
        <v>3.5</v>
      </c>
      <c r="H55" s="207">
        <v>2</v>
      </c>
      <c r="I55" s="257">
        <v>10</v>
      </c>
      <c r="K55" s="258">
        <v>0.5</v>
      </c>
      <c r="L55" s="207">
        <f>F55+(G55-F55)*K55</f>
        <v>2.75</v>
      </c>
      <c r="M55" s="259">
        <f>H55+(I55-H55)*K55</f>
        <v>6</v>
      </c>
      <c r="N55" s="205"/>
      <c r="O55" s="205"/>
      <c r="P55" s="205"/>
      <c r="R55" s="240" t="s">
        <v>229</v>
      </c>
      <c r="S55" s="241">
        <v>19.191263930000002</v>
      </c>
      <c r="T55" s="242">
        <f>(2*PI()*SQRT((S55*Constants!$AF$47)^3/Constants!$AF$48))/(Constants!$AF$46)</f>
        <v>30708.159954085699</v>
      </c>
      <c r="U55" s="243">
        <f t="shared" si="0"/>
        <v>369.65379056003087</v>
      </c>
      <c r="V55" s="242">
        <f>(PI()*SQRT(((S55*Constants!$AF$47+$S$49*Constants!$AF$47)/2)^3/Constants!$AF$48))/(Constants!$AF$46)</f>
        <v>5858.2607726300312</v>
      </c>
      <c r="W55" s="244">
        <v>37118</v>
      </c>
      <c r="X55" s="242">
        <f t="shared" si="1"/>
        <v>-114.30725802627941</v>
      </c>
      <c r="Y55" s="242">
        <f t="shared" si="2"/>
        <v>5743.9535146037515</v>
      </c>
      <c r="Z55" s="242">
        <f t="shared" si="3"/>
        <v>-5743.9535146037515</v>
      </c>
      <c r="AA55" s="245">
        <f t="shared" si="4"/>
        <v>114.30725802627941</v>
      </c>
    </row>
    <row r="56" spans="5:44">
      <c r="E56" s="184" t="s">
        <v>105</v>
      </c>
      <c r="F56" s="207">
        <v>0.2</v>
      </c>
      <c r="G56" s="207">
        <v>1</v>
      </c>
      <c r="H56" s="207">
        <v>0</v>
      </c>
      <c r="I56" s="257">
        <v>0.2</v>
      </c>
      <c r="K56" s="258">
        <v>0.5</v>
      </c>
      <c r="L56" s="207">
        <f>F56+(G56-F56)*K56</f>
        <v>0.60000000000000009</v>
      </c>
      <c r="M56" s="259">
        <f>H56+(I56-H56)*K56</f>
        <v>0.1</v>
      </c>
      <c r="N56" s="205"/>
      <c r="O56" s="205"/>
      <c r="P56" s="205"/>
      <c r="R56" s="240" t="s">
        <v>231</v>
      </c>
      <c r="S56" s="241">
        <v>30.068963480000001</v>
      </c>
      <c r="T56" s="242">
        <f>(2*PI()*SQRT((S56*Constants!$AF$47)^3/Constants!$AF$48))/(Constants!$AF$46)</f>
        <v>60224.903568795424</v>
      </c>
      <c r="U56" s="243">
        <f t="shared" si="0"/>
        <v>367.48571625325167</v>
      </c>
      <c r="V56" s="242">
        <f>(PI()*SQRT(((S56*Constants!$AF$47+$S$49*Constants!$AF$47)/2)^3/Constants!$AF$48))/(Constants!$AF$46)</f>
        <v>11181.848064979798</v>
      </c>
      <c r="W56" s="244">
        <v>37072</v>
      </c>
      <c r="X56" s="242">
        <f t="shared" si="1"/>
        <v>-115.51245505922701</v>
      </c>
      <c r="Y56" s="242">
        <f t="shared" si="2"/>
        <v>11066.335609920572</v>
      </c>
      <c r="Z56" s="242">
        <f t="shared" si="3"/>
        <v>-11066.335609920572</v>
      </c>
      <c r="AA56" s="245">
        <f t="shared" si="4"/>
        <v>115.51245505922701</v>
      </c>
    </row>
    <row r="57" spans="5:44">
      <c r="E57" s="184" t="s">
        <v>106</v>
      </c>
      <c r="F57" s="207">
        <v>5</v>
      </c>
      <c r="G57" s="207">
        <v>50</v>
      </c>
      <c r="H57" s="207">
        <v>2</v>
      </c>
      <c r="I57" s="257">
        <v>20</v>
      </c>
      <c r="K57" s="258">
        <v>0.5</v>
      </c>
      <c r="L57" s="207">
        <f>F57+(G57-F57)*K57</f>
        <v>27.5</v>
      </c>
      <c r="M57" s="259">
        <f>H57+(I57-H57)*K57</f>
        <v>11</v>
      </c>
      <c r="N57" s="205"/>
      <c r="O57" s="205"/>
      <c r="P57" s="205"/>
      <c r="R57" s="240" t="s">
        <v>256</v>
      </c>
      <c r="S57" s="241">
        <v>39.481686770000003</v>
      </c>
      <c r="T57" s="242">
        <f>(2*PI()*SQRT((S57*Constants!$AF$47)^3/Constants!$AF$48))/(Constants!$AF$46)</f>
        <v>90613.305813298706</v>
      </c>
      <c r="U57" s="243">
        <f t="shared" si="0"/>
        <v>366.73524701780946</v>
      </c>
      <c r="V57" s="242">
        <f>(PI()*SQRT(((S57*Constants!$AF$47+$S$49*Constants!$AF$47)/2)^3/Constants!$AF$48))/(Constants!$AF$46)</f>
        <v>16630.731029772731</v>
      </c>
      <c r="W57" s="244">
        <v>37044</v>
      </c>
      <c r="X57" s="242">
        <f t="shared" si="1"/>
        <v>-116.05879731005602</v>
      </c>
      <c r="Y57" s="242">
        <f t="shared" si="2"/>
        <v>16514.672232462675</v>
      </c>
      <c r="Z57" s="242">
        <f t="shared" si="3"/>
        <v>-16514.672232462675</v>
      </c>
      <c r="AA57" s="245">
        <f t="shared" si="4"/>
        <v>116.05879731005602</v>
      </c>
    </row>
    <row r="58" spans="5:44" ht="15" thickBot="1">
      <c r="E58" s="219" t="s">
        <v>107</v>
      </c>
      <c r="F58" s="257">
        <v>0.2</v>
      </c>
      <c r="G58" s="257">
        <v>1.5</v>
      </c>
      <c r="H58" s="257">
        <v>0.2</v>
      </c>
      <c r="I58" s="257">
        <v>1</v>
      </c>
      <c r="K58" s="258">
        <v>0.5</v>
      </c>
      <c r="L58" s="207">
        <f>F58+(G58-F58)*K58</f>
        <v>0.85000000000000009</v>
      </c>
      <c r="M58" s="259">
        <f>H58+(I58-H58)*K58</f>
        <v>0.60000000000000009</v>
      </c>
      <c r="N58" s="205"/>
      <c r="O58" s="205"/>
      <c r="P58" s="205"/>
      <c r="R58" s="260" t="s">
        <v>158</v>
      </c>
      <c r="S58" s="261">
        <v>3</v>
      </c>
      <c r="T58" s="262">
        <f>(2*PI()*SQRT((S58*Constants!$AF$47)^3/Constants!$AF$48))/(Constants!$AF$46)</f>
        <v>1897.9305171553774</v>
      </c>
      <c r="U58" s="263">
        <f t="shared" si="0"/>
        <v>452.30266056914235</v>
      </c>
      <c r="V58" s="262">
        <f>(PI()*SQRT(((S58*Constants!$AF$47+$S$49*Constants!$AF$47)/2)^3/Constants!$AF$48))/(Constants!$AF$46)</f>
        <v>516.55128067299165</v>
      </c>
      <c r="W58" s="264">
        <v>37408</v>
      </c>
      <c r="X58" s="262">
        <f t="shared" si="1"/>
        <v>-103.05013324024083</v>
      </c>
      <c r="Y58" s="262">
        <f t="shared" si="2"/>
        <v>413.50114743275083</v>
      </c>
      <c r="Z58" s="262">
        <f t="shared" si="3"/>
        <v>-413.50114743275083</v>
      </c>
      <c r="AA58" s="265">
        <f t="shared" si="4"/>
        <v>103.05013324024083</v>
      </c>
    </row>
    <row r="59" spans="5:44" ht="15" thickBot="1">
      <c r="E59" s="220" t="s">
        <v>108</v>
      </c>
      <c r="F59" s="266">
        <v>0.8</v>
      </c>
      <c r="G59" s="266">
        <v>3.5</v>
      </c>
      <c r="H59" s="266">
        <v>5</v>
      </c>
      <c r="I59" s="266">
        <v>20</v>
      </c>
      <c r="J59" s="200"/>
      <c r="K59" s="267">
        <v>0.5</v>
      </c>
      <c r="L59" s="268">
        <f>F59+(G59-F59)*K59</f>
        <v>2.1500000000000004</v>
      </c>
      <c r="M59" s="269">
        <f>H59+(I59-H59)*K59</f>
        <v>12.5</v>
      </c>
      <c r="N59" s="205"/>
      <c r="O59" s="205"/>
      <c r="P59" s="205"/>
    </row>
    <row r="60" spans="5:44">
      <c r="M60" s="205"/>
      <c r="N60" s="205"/>
      <c r="O60" s="205"/>
      <c r="P60" s="205"/>
    </row>
    <row r="61" spans="5:44" ht="15" thickBot="1">
      <c r="M61" s="205"/>
      <c r="N61" s="205"/>
      <c r="O61" s="205"/>
      <c r="P61" s="205"/>
    </row>
    <row r="62" spans="5:44">
      <c r="E62" s="270" t="s">
        <v>257</v>
      </c>
      <c r="F62" s="271"/>
      <c r="G62" s="271"/>
      <c r="H62" s="272"/>
      <c r="I62" s="272"/>
      <c r="J62" s="272"/>
      <c r="K62" s="272"/>
      <c r="L62" s="272"/>
      <c r="M62" s="273"/>
    </row>
    <row r="63" spans="5:44" ht="15" thickBot="1">
      <c r="E63" s="184"/>
      <c r="M63" s="185"/>
    </row>
    <row r="64" spans="5:44">
      <c r="E64" s="184"/>
      <c r="F64" s="183" t="s">
        <v>109</v>
      </c>
      <c r="G64" s="183" t="s">
        <v>110</v>
      </c>
      <c r="H64" s="183" t="s">
        <v>111</v>
      </c>
      <c r="I64" s="183"/>
      <c r="J64" s="183"/>
      <c r="K64" s="183" t="s">
        <v>109</v>
      </c>
      <c r="L64" s="183"/>
      <c r="M64" s="165" t="s">
        <v>111</v>
      </c>
      <c r="T64" s="274" t="s">
        <v>109</v>
      </c>
      <c r="U64" s="210" t="s">
        <v>110</v>
      </c>
      <c r="V64" s="168"/>
      <c r="W64" s="168"/>
      <c r="X64" s="210" t="s">
        <v>112</v>
      </c>
      <c r="Y64" s="210"/>
      <c r="Z64" s="210"/>
      <c r="AA64" s="210"/>
      <c r="AB64" s="210" t="s">
        <v>113</v>
      </c>
      <c r="AC64" s="210"/>
      <c r="AD64" s="210"/>
      <c r="AE64" s="210" t="s">
        <v>114</v>
      </c>
      <c r="AF64" s="168"/>
      <c r="AG64" s="210" t="s">
        <v>109</v>
      </c>
      <c r="AH64" s="210"/>
      <c r="AI64" s="210"/>
      <c r="AJ64" s="168"/>
      <c r="AK64" s="210" t="s">
        <v>112</v>
      </c>
      <c r="AL64" s="210"/>
      <c r="AM64" s="210"/>
      <c r="AN64" s="210"/>
      <c r="AO64" s="210" t="s">
        <v>113</v>
      </c>
      <c r="AP64" s="210"/>
      <c r="AQ64" s="210"/>
      <c r="AR64" s="160" t="s">
        <v>114</v>
      </c>
    </row>
    <row r="65" spans="5:44">
      <c r="E65" s="184"/>
      <c r="F65" s="183" t="s">
        <v>67</v>
      </c>
      <c r="G65" s="183" t="s">
        <v>67</v>
      </c>
      <c r="H65" s="183" t="s">
        <v>115</v>
      </c>
      <c r="I65" s="183"/>
      <c r="J65" s="183"/>
      <c r="K65" s="183" t="s">
        <v>67</v>
      </c>
      <c r="L65" s="183" t="s">
        <v>116</v>
      </c>
      <c r="M65" s="165" t="s">
        <v>115</v>
      </c>
      <c r="T65" s="275" t="s">
        <v>67</v>
      </c>
      <c r="U65" s="183" t="s">
        <v>67</v>
      </c>
      <c r="AG65" s="183" t="s">
        <v>67</v>
      </c>
      <c r="AH65" s="183" t="s">
        <v>116</v>
      </c>
      <c r="AI65" s="183"/>
      <c r="AR65" s="185"/>
    </row>
    <row r="66" spans="5:44">
      <c r="E66" s="184" t="s">
        <v>61</v>
      </c>
      <c r="F66" s="161">
        <v>0.2</v>
      </c>
      <c r="G66" s="161">
        <v>10</v>
      </c>
      <c r="H66" s="276">
        <f>INDEX(MMULT(AA66:AC68,AE66:AE68),1,1)</f>
        <v>1.1829442382747484</v>
      </c>
      <c r="K66" s="161">
        <v>7</v>
      </c>
      <c r="L66" s="161">
        <v>1.1000000000000001</v>
      </c>
      <c r="M66" s="277">
        <f>INDEX(MMULT(AN66:AP68,AR66:AR68),1,1)</f>
        <v>0.93286813193897444</v>
      </c>
      <c r="T66" s="184">
        <f t="shared" ref="T66:U69" si="5">LOG(F66)</f>
        <v>-0.69897000433601875</v>
      </c>
      <c r="U66" s="161">
        <f t="shared" si="5"/>
        <v>1</v>
      </c>
      <c r="W66" s="161">
        <f>4</f>
        <v>4</v>
      </c>
      <c r="X66" s="161">
        <f>W67</f>
        <v>2.204119982655925</v>
      </c>
      <c r="Y66" s="161">
        <f>X67</f>
        <v>4.2812487254895908</v>
      </c>
      <c r="AA66" s="161">
        <f>INDEX(MINVERSE(W66:Y68),1,1)</f>
        <v>0.51014699027108712</v>
      </c>
      <c r="AB66" s="161">
        <f>INDEX(MINVERSE(W66:Y68),2)</f>
        <v>0.11058393226860654</v>
      </c>
      <c r="AC66" s="161">
        <f>INDEX(MINVERSE(W66:Y68),3)</f>
        <v>-0.29998916164614614</v>
      </c>
      <c r="AE66" s="161">
        <f>U66+U67+U68+U69</f>
        <v>6.0492180226701819</v>
      </c>
      <c r="AG66" s="161">
        <f t="shared" ref="AG66:AH69" si="6">LOG(K66)</f>
        <v>0.84509804001425681</v>
      </c>
      <c r="AH66" s="161">
        <f t="shared" si="6"/>
        <v>4.1392685158225077E-2</v>
      </c>
      <c r="AJ66" s="161">
        <f>4</f>
        <v>4</v>
      </c>
      <c r="AK66" s="161">
        <f>AJ67</f>
        <v>5.8662873390841952</v>
      </c>
      <c r="AL66" s="161">
        <f>AK67</f>
        <v>9.1869637512785118</v>
      </c>
      <c r="AN66" s="161">
        <f>INDEX(MINVERSE(AJ66:AL68),1,1)</f>
        <v>72.295517299365471</v>
      </c>
      <c r="AO66" s="161">
        <f>INDEX(MINVERSE(AJ66:AL68),2)</f>
        <v>-117.33151108467169</v>
      </c>
      <c r="AP66" s="161">
        <f>INDEX(MINVERSE(AJ66:AL68),3)</f>
        <v>43.552831989620259</v>
      </c>
      <c r="AR66" s="185">
        <f>AH66+AH67+AH68+AH69</f>
        <v>0.95763601562356471</v>
      </c>
    </row>
    <row r="67" spans="5:44">
      <c r="E67" s="184"/>
      <c r="F67" s="161">
        <v>2</v>
      </c>
      <c r="G67" s="161">
        <v>20</v>
      </c>
      <c r="H67" s="276">
        <f>INDEX(MMULT(AA66:AC68,AE66:AE68),2,1)</f>
        <v>0.35039787768968989</v>
      </c>
      <c r="K67" s="161">
        <v>30</v>
      </c>
      <c r="L67" s="161">
        <v>1.4</v>
      </c>
      <c r="M67" s="277">
        <f>INDEX(MMULT(AN66:AP68,AR66:AR68),2,1)</f>
        <v>-1.7328494292437142</v>
      </c>
      <c r="T67" s="184">
        <f t="shared" si="5"/>
        <v>0.3010299956639812</v>
      </c>
      <c r="U67" s="161">
        <f t="shared" si="5"/>
        <v>1.3010299956639813</v>
      </c>
      <c r="W67" s="161">
        <f>T66+T67+T68+T69</f>
        <v>2.204119982655925</v>
      </c>
      <c r="X67" s="161">
        <f>W68</f>
        <v>4.2812487254895908</v>
      </c>
      <c r="Y67" s="161">
        <f>T66^3+T67^3+T68^3+T69^3</f>
        <v>5.3264007461631149</v>
      </c>
      <c r="AA67" s="161">
        <f>INDEX(MINVERSE(W66:Y68),2,1)</f>
        <v>0.11058393226860654</v>
      </c>
      <c r="AB67" s="161">
        <f>INDEX(MINVERSE(W66:Y68),2,2)</f>
        <v>0.84895110258993822</v>
      </c>
      <c r="AC67" s="161">
        <f>INDEX(MINVERSE(W66:Y68),2,3)</f>
        <v>-0.54038575353412144</v>
      </c>
      <c r="AE67" s="161">
        <f>T66*U66+T67*U67+T68*U68+T69*U69</f>
        <v>4.7856905444280091</v>
      </c>
      <c r="AG67" s="161">
        <f t="shared" si="6"/>
        <v>1.4771212547196624</v>
      </c>
      <c r="AH67" s="161">
        <f t="shared" si="6"/>
        <v>0.14612803567823801</v>
      </c>
      <c r="AJ67" s="161">
        <f>AG66+AG67+AG68+AG69</f>
        <v>5.8662873390841952</v>
      </c>
      <c r="AK67" s="161">
        <f>AJ68</f>
        <v>9.1869637512785118</v>
      </c>
      <c r="AL67" s="161">
        <f>AG66^3+AG67^3+AG68^3+AG69^3</f>
        <v>15.011975835868084</v>
      </c>
      <c r="AN67" s="161">
        <f>INDEX(MINVERSE(AJ66:AL68),2,1)</f>
        <v>-117.33151108467169</v>
      </c>
      <c r="AO67" s="161">
        <f>INDEX(MINVERSE(AJ66:AL68),2,2)</f>
        <v>194.56416200674056</v>
      </c>
      <c r="AP67" s="161">
        <f>INDEX(MINVERSE(AJ66:AL68),2,3)</f>
        <v>-73.151832757308554</v>
      </c>
      <c r="AR67" s="185">
        <f>AG66*AH66+AG67*AH67+AG68*AH68+AG69*AH69</f>
        <v>1.6310342093601122</v>
      </c>
    </row>
    <row r="68" spans="5:44">
      <c r="E68" s="184"/>
      <c r="F68" s="161">
        <v>8</v>
      </c>
      <c r="G68" s="161">
        <v>40</v>
      </c>
      <c r="H68" s="276">
        <f>INDEX(MMULT(AA66:AC68,AE66:AE68),3,1)</f>
        <v>0.12732782896484807</v>
      </c>
      <c r="K68" s="161">
        <v>50</v>
      </c>
      <c r="L68" s="161">
        <v>1.9</v>
      </c>
      <c r="M68" s="277">
        <f>INDEX(MMULT(AN66:AP68,AR66:AR68),3,1)</f>
        <v>0.80457007944009717</v>
      </c>
      <c r="T68" s="184">
        <f t="shared" si="5"/>
        <v>0.90308998699194354</v>
      </c>
      <c r="U68" s="161">
        <f t="shared" si="5"/>
        <v>1.6020599913279623</v>
      </c>
      <c r="W68" s="161">
        <f>T66^2+T67^2+T68^2+T69^2</f>
        <v>4.2812487254895908</v>
      </c>
      <c r="X68" s="161">
        <f>Y67</f>
        <v>5.3264007461631149</v>
      </c>
      <c r="Y68" s="161">
        <f>T66^4+T67^4+T68^4+T69^4</f>
        <v>9.2439356010154867</v>
      </c>
      <c r="AA68" s="161">
        <f>INDEX(MINVERSE(W66:Y68),3,1)</f>
        <v>-0.29998916164614614</v>
      </c>
      <c r="AB68" s="161">
        <f>INDEX(MINVERSE(W66:Y68),3,2)</f>
        <v>-0.54038575353412133</v>
      </c>
      <c r="AC68" s="161">
        <f>INDEX(MINVERSE(W66:Y68),3,3)</f>
        <v>0.55848931879525177</v>
      </c>
      <c r="AE68" s="161">
        <f>U66*T66^2+U67*T67^2+U68*T68^2+U69*T69^2</f>
        <v>8.1078482807875343</v>
      </c>
      <c r="AG68" s="161">
        <f t="shared" si="6"/>
        <v>1.6989700043360187</v>
      </c>
      <c r="AH68" s="161">
        <f t="shared" si="6"/>
        <v>0.27875360095282892</v>
      </c>
      <c r="AJ68" s="161">
        <f>AG66^2+AG67^2+AG68^2+AG69^2</f>
        <v>9.1869637512785118</v>
      </c>
      <c r="AK68" s="161">
        <f>AL67</f>
        <v>15.011975835868084</v>
      </c>
      <c r="AL68" s="161">
        <f>AG66^4+AG67^4+AG68^4+AG69^4</f>
        <v>25.192426353383205</v>
      </c>
      <c r="AN68" s="161">
        <f>INDEX(MINVERSE(AJ66:AL68),3,1)</f>
        <v>43.552831989620259</v>
      </c>
      <c r="AO68" s="161">
        <f>INDEX(MINVERSE(AJ66:AL68),3,2)</f>
        <v>-73.151832757308654</v>
      </c>
      <c r="AP68" s="161">
        <f>INDEX(MINVERSE(AJ66:AL68),3,3)</f>
        <v>27.747833699795244</v>
      </c>
      <c r="AR68" s="185">
        <f>AH66*AG66^2+AH67*AG67^2+AH68*AG68^2+AH69*AG69^2</f>
        <v>2.8258044262718891</v>
      </c>
    </row>
    <row r="69" spans="5:44">
      <c r="E69" s="184"/>
      <c r="F69" s="161">
        <v>50</v>
      </c>
      <c r="G69" s="161">
        <v>140</v>
      </c>
      <c r="H69" s="276"/>
      <c r="K69" s="161">
        <v>70</v>
      </c>
      <c r="L69" s="161">
        <v>3.1</v>
      </c>
      <c r="M69" s="277"/>
      <c r="T69" s="184">
        <f t="shared" si="5"/>
        <v>1.6989700043360187</v>
      </c>
      <c r="U69" s="161">
        <f t="shared" si="5"/>
        <v>2.1461280356782382</v>
      </c>
      <c r="AG69" s="161">
        <f t="shared" si="6"/>
        <v>1.8450980400142569</v>
      </c>
      <c r="AH69" s="161">
        <f t="shared" si="6"/>
        <v>0.49136169383427269</v>
      </c>
      <c r="AR69" s="185"/>
    </row>
    <row r="70" spans="5:44">
      <c r="E70" s="184"/>
      <c r="H70" s="276"/>
      <c r="M70" s="277"/>
      <c r="T70" s="184"/>
      <c r="AR70" s="185"/>
    </row>
    <row r="71" spans="5:44">
      <c r="E71" s="184" t="s">
        <v>60</v>
      </c>
      <c r="F71" s="161">
        <v>1</v>
      </c>
      <c r="G71" s="161">
        <v>10</v>
      </c>
      <c r="H71" s="276">
        <f>INDEX(MMULT(AA71:AC73,AE71:AE73),1,1)</f>
        <v>1.0018770507054953</v>
      </c>
      <c r="K71" s="161">
        <v>1</v>
      </c>
      <c r="L71" s="161">
        <v>2</v>
      </c>
      <c r="M71" s="277">
        <f>INDEX(MMULT(AN71:AP73,AR71:AR73),1,1)</f>
        <v>0.30492967970573259</v>
      </c>
      <c r="O71" s="278"/>
      <c r="T71" s="184">
        <f t="shared" ref="T71:U74" si="7">LOG(F71)</f>
        <v>0</v>
      </c>
      <c r="U71" s="161">
        <f t="shared" si="7"/>
        <v>1</v>
      </c>
      <c r="W71" s="161">
        <f>4</f>
        <v>4</v>
      </c>
      <c r="X71" s="161">
        <f>W72</f>
        <v>4.0334237554869503</v>
      </c>
      <c r="Y71" s="161">
        <f>X72</f>
        <v>6.1172622037907569</v>
      </c>
      <c r="AA71" s="161">
        <f>INDEX(MINVERSE(W71:Y73),1,1)</f>
        <v>0.97478186774907949</v>
      </c>
      <c r="AB71" s="161">
        <f>INDEX(MINVERSE(W71:Y73),2)</f>
        <v>-1.5401004160574805</v>
      </c>
      <c r="AC71" s="161">
        <f>INDEX(MINVERSE(W71:Y73),3)</f>
        <v>0.54154130109257181</v>
      </c>
      <c r="AE71" s="161">
        <f>U71+U72+U73+U74</f>
        <v>6.0492180226701819</v>
      </c>
      <c r="AG71" s="161">
        <f t="shared" ref="AG71:AH74" si="8">LOG(K71)</f>
        <v>0</v>
      </c>
      <c r="AH71" s="161">
        <f t="shared" si="8"/>
        <v>0.3010299956639812</v>
      </c>
      <c r="AJ71" s="161">
        <f>4</f>
        <v>4</v>
      </c>
      <c r="AK71" s="161">
        <f>AJ72</f>
        <v>3.924279286061882</v>
      </c>
      <c r="AL71" s="161">
        <f>AK72</f>
        <v>5.7025851953554998</v>
      </c>
      <c r="AN71" s="161">
        <f>INDEX(MINVERSE(AJ71:AL73),1,1)</f>
        <v>0.9791790260008465</v>
      </c>
      <c r="AO71" s="161">
        <f>INDEX(MINVERSE(AJ71:AL73),2)</f>
        <v>-1.6042833840484394</v>
      </c>
      <c r="AP71" s="161">
        <f>INDEX(MINVERSE(AJ71:AL73),3)</f>
        <v>0.59252774544134124</v>
      </c>
      <c r="AR71" s="185">
        <f>AH71+AH72+AH73+AH74</f>
        <v>2.2253092817258628</v>
      </c>
    </row>
    <row r="72" spans="5:44">
      <c r="E72" s="184"/>
      <c r="F72" s="161">
        <v>6</v>
      </c>
      <c r="G72" s="161">
        <v>20</v>
      </c>
      <c r="H72" s="276">
        <f>INDEX(MMULT(AA71:AC73,AE71:AE73),2,1)</f>
        <v>0.23566263382873132</v>
      </c>
      <c r="K72" s="161">
        <v>6</v>
      </c>
      <c r="L72" s="161">
        <v>3</v>
      </c>
      <c r="M72" s="277">
        <f>INDEX(MMULT(AN71:AP73,AR71:AR73),2,1)</f>
        <v>0.13455113460149271</v>
      </c>
      <c r="O72" s="278"/>
      <c r="T72" s="184">
        <f t="shared" si="7"/>
        <v>0.77815125038364363</v>
      </c>
      <c r="U72" s="161">
        <f t="shared" si="7"/>
        <v>1.3010299956639813</v>
      </c>
      <c r="W72" s="161">
        <f>T71+T72+T73+T74</f>
        <v>4.0334237554869503</v>
      </c>
      <c r="X72" s="161">
        <f>W73</f>
        <v>6.1172622037907569</v>
      </c>
      <c r="Y72" s="161">
        <f>T71^3+T72^3+T73^3+T74^3</f>
        <v>10.136788666568179</v>
      </c>
      <c r="AA72" s="161">
        <f>INDEX(MINVERSE(W71:Y73),2,1)</f>
        <v>-1.5401004160574805</v>
      </c>
      <c r="AB72" s="161">
        <f>INDEX(MINVERSE(W71:Y73),2,2)</f>
        <v>5.2898664517637126</v>
      </c>
      <c r="AC72" s="161">
        <f>INDEX(MINVERSE(W71:Y73),2,3)</f>
        <v>-2.4808273440139752</v>
      </c>
      <c r="AE72" s="161">
        <f>T71*U71+T72*U72+T73*U73+T74*U74</f>
        <v>7.2907808595053387</v>
      </c>
      <c r="AG72" s="161">
        <f t="shared" si="8"/>
        <v>0.77815125038364363</v>
      </c>
      <c r="AH72" s="161">
        <f t="shared" si="8"/>
        <v>0.47712125471966244</v>
      </c>
      <c r="AJ72" s="161">
        <f>AG71+AG72+AG73+AG74</f>
        <v>3.924279286061882</v>
      </c>
      <c r="AK72" s="161">
        <f>AJ73</f>
        <v>5.7025851953554998</v>
      </c>
      <c r="AL72" s="161">
        <f>AG71^3+AG72^3+AG73^3+AG74^3</f>
        <v>8.9548392404746231</v>
      </c>
      <c r="AN72" s="161">
        <f>INDEX(MINVERSE(AJ71:AL73),2,1)</f>
        <v>-1.6042833840484394</v>
      </c>
      <c r="AO72" s="161">
        <f>INDEX(MINVERSE(AJ71:AL73),2,2)</f>
        <v>6.0493649449030098</v>
      </c>
      <c r="AP72" s="161">
        <f>INDEX(MINVERSE(AJ71:AL73),2,3)</f>
        <v>-3.0376159965178968</v>
      </c>
      <c r="AR72" s="185">
        <f>AG71*AH71+AG72*AH72+AG73*AH73+AG74*AH74</f>
        <v>2.7138593461017892</v>
      </c>
    </row>
    <row r="73" spans="5:44">
      <c r="E73" s="184"/>
      <c r="F73" s="161">
        <v>20</v>
      </c>
      <c r="G73" s="161">
        <v>40</v>
      </c>
      <c r="H73" s="276">
        <f>INDEX(MMULT(AA71:AC73,AE71:AE73),3,1)</f>
        <v>0.17837760062116992</v>
      </c>
      <c r="K73" s="161">
        <v>20</v>
      </c>
      <c r="L73" s="161">
        <v>4</v>
      </c>
      <c r="M73" s="277">
        <f>INDEX(MMULT(AN71:AP73,AR71:AR73),3,1)</f>
        <v>8.3746987744985013E-2</v>
      </c>
      <c r="T73" s="184">
        <f t="shared" si="7"/>
        <v>1.3010299956639813</v>
      </c>
      <c r="U73" s="161">
        <f t="shared" si="7"/>
        <v>1.6020599913279623</v>
      </c>
      <c r="W73" s="161">
        <f>T71^2+T72^2+T73^2+T74^2</f>
        <v>6.1172622037907569</v>
      </c>
      <c r="X73" s="161">
        <f>Y72</f>
        <v>10.136788666568179</v>
      </c>
      <c r="Y73" s="161">
        <f>T71^4+T72^4+T73^4+T74^4</f>
        <v>17.817064269853432</v>
      </c>
      <c r="AA73" s="161">
        <f>INDEX(MINVERSE(W71:Y73),3,1)</f>
        <v>0.54154130109257181</v>
      </c>
      <c r="AB73" s="161">
        <f>INDEX(MINVERSE(W71:Y73),3,2)</f>
        <v>-2.4808273440139748</v>
      </c>
      <c r="AC73" s="161">
        <f>INDEX(MINVERSE(W71:Y73),3,3)</f>
        <v>1.2816293428421182</v>
      </c>
      <c r="AE73" s="161">
        <f>U71*T71^2+U72*T72^2+U73*T73^2+U74*T74^2</f>
        <v>11.695772105424421</v>
      </c>
      <c r="AG73" s="161">
        <f t="shared" si="8"/>
        <v>1.3010299956639813</v>
      </c>
      <c r="AH73" s="161">
        <f t="shared" si="8"/>
        <v>0.6020599913279624</v>
      </c>
      <c r="AJ73" s="161">
        <f>AG71^2+AG72^2+AG73^2+AG74^2</f>
        <v>5.7025851953554998</v>
      </c>
      <c r="AK73" s="161">
        <f>AL72</f>
        <v>8.9548392404746231</v>
      </c>
      <c r="AL73" s="161">
        <f>AG71^4+AG72^4+AG73^4+AG74^4</f>
        <v>14.821665399823477</v>
      </c>
      <c r="AN73" s="161">
        <f>INDEX(MINVERSE(AJ71:AL73),3,1)</f>
        <v>0.59252774544134124</v>
      </c>
      <c r="AO73" s="161">
        <f>INDEX(MINVERSE(AJ71:AL73),3,2)</f>
        <v>-3.0376159965178964</v>
      </c>
      <c r="AP73" s="161">
        <f>INDEX(MINVERSE(AJ71:AL73),3,3)</f>
        <v>1.6747391271170073</v>
      </c>
      <c r="AR73" s="185">
        <f>AH71*AG71^2+AH72*AG72^2+AH73*AG73^2+AH74*AG74^2</f>
        <v>4.1850410876935236</v>
      </c>
    </row>
    <row r="74" spans="5:44" ht="15" thickBot="1">
      <c r="E74" s="199"/>
      <c r="F74" s="200">
        <v>90</v>
      </c>
      <c r="G74" s="200">
        <v>140</v>
      </c>
      <c r="H74" s="279"/>
      <c r="I74" s="200"/>
      <c r="J74" s="200"/>
      <c r="K74" s="200">
        <v>70</v>
      </c>
      <c r="L74" s="200">
        <v>7</v>
      </c>
      <c r="M74" s="202"/>
      <c r="T74" s="184">
        <f t="shared" si="7"/>
        <v>1.954242509439325</v>
      </c>
      <c r="U74" s="161">
        <f t="shared" si="7"/>
        <v>2.1461280356782382</v>
      </c>
      <c r="AG74" s="161">
        <f t="shared" si="8"/>
        <v>1.8450980400142569</v>
      </c>
      <c r="AH74" s="161">
        <f t="shared" si="8"/>
        <v>0.84509804001425681</v>
      </c>
      <c r="AR74" s="185"/>
    </row>
    <row r="75" spans="5:44" ht="15" thickBot="1">
      <c r="T75" s="199"/>
      <c r="U75" s="200"/>
      <c r="V75" s="200"/>
      <c r="W75" s="200"/>
      <c r="X75" s="200"/>
      <c r="Y75" s="200"/>
      <c r="Z75" s="200"/>
      <c r="AA75" s="200"/>
      <c r="AB75" s="200"/>
      <c r="AC75" s="200"/>
      <c r="AD75" s="200"/>
      <c r="AE75" s="200"/>
      <c r="AF75" s="200"/>
      <c r="AG75" s="200"/>
      <c r="AH75" s="200"/>
      <c r="AI75" s="200"/>
      <c r="AJ75" s="200"/>
      <c r="AK75" s="200"/>
      <c r="AL75" s="200"/>
      <c r="AM75" s="200"/>
      <c r="AN75" s="200"/>
      <c r="AO75" s="200"/>
      <c r="AP75" s="200"/>
      <c r="AQ75" s="200"/>
      <c r="AR75" s="202"/>
    </row>
    <row r="76" spans="5:44" ht="15" thickBot="1"/>
    <row r="77" spans="5:44">
      <c r="E77" s="270" t="s">
        <v>258</v>
      </c>
      <c r="F77" s="280"/>
      <c r="G77" s="280"/>
      <c r="H77" s="280"/>
      <c r="I77" s="280"/>
      <c r="J77" s="170"/>
      <c r="K77" s="171"/>
    </row>
    <row r="78" spans="5:44">
      <c r="E78" s="184"/>
      <c r="K78" s="185"/>
    </row>
    <row r="79" spans="5:44">
      <c r="E79" s="184" t="s">
        <v>117</v>
      </c>
      <c r="G79" s="161" t="s">
        <v>118</v>
      </c>
      <c r="H79" s="161">
        <f>-28.1815/100</f>
        <v>-0.28181499999999998</v>
      </c>
      <c r="I79" s="161" t="s">
        <v>119</v>
      </c>
      <c r="J79" s="281" t="s">
        <v>120</v>
      </c>
      <c r="K79" s="185">
        <f>168.1814/100</f>
        <v>1.6818139999999999</v>
      </c>
    </row>
    <row r="80" spans="5:44" ht="15" thickBot="1">
      <c r="E80" s="199" t="s">
        <v>121</v>
      </c>
      <c r="F80" s="200"/>
      <c r="G80" s="200" t="s">
        <v>118</v>
      </c>
      <c r="H80" s="200">
        <f>-28.1815/100</f>
        <v>-0.28181499999999998</v>
      </c>
      <c r="I80" s="200" t="s">
        <v>119</v>
      </c>
      <c r="J80" s="282" t="s">
        <v>120</v>
      </c>
      <c r="K80" s="202">
        <f>(168.1814-22.1818)/100</f>
        <v>1.4599959999999998</v>
      </c>
    </row>
    <row r="82" spans="5:44" ht="15" thickBot="1"/>
    <row r="83" spans="5:44">
      <c r="E83" s="270" t="s">
        <v>259</v>
      </c>
      <c r="F83" s="271"/>
      <c r="G83" s="272"/>
      <c r="H83" s="272"/>
      <c r="I83" s="272"/>
      <c r="J83" s="272"/>
      <c r="K83" s="272"/>
      <c r="L83" s="273"/>
      <c r="M83" s="283"/>
    </row>
    <row r="84" spans="5:44" ht="15" thickBot="1">
      <c r="E84" s="284" t="s">
        <v>122</v>
      </c>
      <c r="F84" s="223"/>
      <c r="G84" s="223"/>
      <c r="J84" s="223" t="s">
        <v>123</v>
      </c>
      <c r="K84" s="223"/>
      <c r="L84" s="182"/>
      <c r="N84" s="223" t="s">
        <v>7</v>
      </c>
    </row>
    <row r="85" spans="5:44">
      <c r="E85" s="275" t="s">
        <v>124</v>
      </c>
      <c r="F85" s="183" t="s">
        <v>125</v>
      </c>
      <c r="G85" s="183" t="s">
        <v>111</v>
      </c>
      <c r="H85" s="183"/>
      <c r="I85" s="183"/>
      <c r="J85" s="183" t="s">
        <v>124</v>
      </c>
      <c r="K85" s="183" t="s">
        <v>125</v>
      </c>
      <c r="L85" s="165" t="s">
        <v>111</v>
      </c>
      <c r="T85" s="274" t="s">
        <v>124</v>
      </c>
      <c r="U85" s="210" t="s">
        <v>125</v>
      </c>
      <c r="V85" s="168"/>
      <c r="W85" s="168"/>
      <c r="X85" s="210" t="s">
        <v>112</v>
      </c>
      <c r="Y85" s="210"/>
      <c r="Z85" s="210"/>
      <c r="AA85" s="210"/>
      <c r="AB85" s="210" t="s">
        <v>113</v>
      </c>
      <c r="AC85" s="210"/>
      <c r="AD85" s="210"/>
      <c r="AE85" s="210" t="s">
        <v>114</v>
      </c>
      <c r="AF85" s="168"/>
      <c r="AG85" s="210" t="s">
        <v>124</v>
      </c>
      <c r="AH85" s="210" t="s">
        <v>125</v>
      </c>
      <c r="AI85" s="210"/>
      <c r="AJ85" s="168"/>
      <c r="AK85" s="210" t="s">
        <v>112</v>
      </c>
      <c r="AL85" s="210"/>
      <c r="AM85" s="210"/>
      <c r="AN85" s="210"/>
      <c r="AO85" s="210" t="s">
        <v>113</v>
      </c>
      <c r="AP85" s="210"/>
      <c r="AQ85" s="210"/>
      <c r="AR85" s="160" t="s">
        <v>114</v>
      </c>
    </row>
    <row r="86" spans="5:44">
      <c r="E86" s="275" t="s">
        <v>126</v>
      </c>
      <c r="F86" s="183" t="s">
        <v>127</v>
      </c>
      <c r="G86" s="183" t="s">
        <v>115</v>
      </c>
      <c r="H86" s="183"/>
      <c r="I86" s="183"/>
      <c r="J86" s="183" t="s">
        <v>126</v>
      </c>
      <c r="K86" s="183" t="s">
        <v>127</v>
      </c>
      <c r="L86" s="165" t="s">
        <v>115</v>
      </c>
      <c r="T86" s="275" t="s">
        <v>126</v>
      </c>
      <c r="U86" s="183" t="s">
        <v>127</v>
      </c>
      <c r="AG86" s="183" t="s">
        <v>126</v>
      </c>
      <c r="AH86" s="183" t="s">
        <v>127</v>
      </c>
      <c r="AI86" s="183"/>
      <c r="AR86" s="185"/>
    </row>
    <row r="87" spans="5:44">
      <c r="E87" s="184">
        <v>1</v>
      </c>
      <c r="F87" s="161">
        <v>4</v>
      </c>
      <c r="G87" s="276">
        <f>INDEX(MMULT(AA87:AC89,AE87:AE89),1,1)</f>
        <v>0.6017184917250864</v>
      </c>
      <c r="J87" s="161">
        <v>300</v>
      </c>
      <c r="K87" s="161">
        <v>90</v>
      </c>
      <c r="L87" s="277">
        <f>INDEX(MMULT(AN87:AO88,AR87:AR88),1,1)</f>
        <v>-0.51024360722774986</v>
      </c>
      <c r="T87" s="184">
        <f t="shared" ref="T87:U90" si="9">LOG(E87)</f>
        <v>0</v>
      </c>
      <c r="U87" s="161">
        <f t="shared" si="9"/>
        <v>0.6020599913279624</v>
      </c>
      <c r="W87" s="161">
        <f>4</f>
        <v>4</v>
      </c>
      <c r="X87" s="161">
        <f>W88</f>
        <v>6.1760912590556813</v>
      </c>
      <c r="Y87" s="161">
        <f>X88</f>
        <v>13.022628786217448</v>
      </c>
      <c r="AA87" s="161">
        <f>INDEX(MINVERSE(W87:Y89),1,1)</f>
        <v>0.99928092012534531</v>
      </c>
      <c r="AB87" s="161">
        <f>INDEX(MINVERSE(W87:Y89),2)</f>
        <v>-0.96887778466405383</v>
      </c>
      <c r="AC87" s="161">
        <f>INDEX(MINVERSE(W87:Y89),3)</f>
        <v>0.22935107692054904</v>
      </c>
      <c r="AE87" s="161">
        <f>U87+U88+U89+U90</f>
        <v>5.2402496315187994</v>
      </c>
      <c r="AG87" s="161">
        <f t="shared" ref="AG87:AH89" si="10">LOG(J87)</f>
        <v>2.4771212547196626</v>
      </c>
      <c r="AH87" s="161">
        <f t="shared" si="10"/>
        <v>1.954242509439325</v>
      </c>
      <c r="AJ87" s="161">
        <v>3</v>
      </c>
      <c r="AK87" s="161">
        <f>AJ88</f>
        <v>8.9542425094393252</v>
      </c>
      <c r="AN87" s="161">
        <f>INDEX(MINVERSE(AJ87:AK88),1,1)</f>
        <v>18.13834224815108</v>
      </c>
      <c r="AO87" s="161">
        <f>INDEX(MINVERSE(AJ87:AK88),2)</f>
        <v>-5.9653317059644682</v>
      </c>
      <c r="AR87" s="185">
        <f>AH87+AH88+AH89</f>
        <v>7.380753770803901</v>
      </c>
    </row>
    <row r="88" spans="5:44">
      <c r="E88" s="184">
        <v>50</v>
      </c>
      <c r="F88" s="161">
        <v>16.100000000000001</v>
      </c>
      <c r="G88" s="276">
        <f>INDEX(MMULT(AA87:AC89,AE87:AE89),2,1)</f>
        <v>-4.755720848801559E-2</v>
      </c>
      <c r="J88" s="161">
        <v>1000</v>
      </c>
      <c r="K88" s="161">
        <v>300</v>
      </c>
      <c r="L88" s="277">
        <f>INDEX(MMULT(AN87:AO88,AR87:AR88),2,1)</f>
        <v>0.99522484264780786</v>
      </c>
      <c r="T88" s="184">
        <f t="shared" si="9"/>
        <v>1.6989700043360187</v>
      </c>
      <c r="U88" s="161">
        <f t="shared" si="9"/>
        <v>1.2068258760318498</v>
      </c>
      <c r="W88" s="161">
        <f>T87+T88+T89+T90</f>
        <v>6.1760912590556813</v>
      </c>
      <c r="X88" s="161">
        <f>W89</f>
        <v>13.022628786217448</v>
      </c>
      <c r="Y88" s="161">
        <f>T87^3+T88^3+T89^3+T90^3</f>
        <v>28.104012674849244</v>
      </c>
      <c r="AA88" s="161">
        <f>INDEX(MINVERSE(W87:Y89),2,1)</f>
        <v>-0.96887778466405383</v>
      </c>
      <c r="AB88" s="161">
        <f>INDEX(MINVERSE(W87:Y89),2,2)</f>
        <v>4.5101853008225978</v>
      </c>
      <c r="AC88" s="161">
        <f>INDEX(MINVERSE(W87:Y89),2,3)</f>
        <v>-1.8413951029499336</v>
      </c>
      <c r="AE88" s="161">
        <f>T87*U87+T88*U88+T89*U89+T90*U90</f>
        <v>9.8454991302828176</v>
      </c>
      <c r="AG88" s="161">
        <f t="shared" si="10"/>
        <v>3</v>
      </c>
      <c r="AH88" s="161">
        <f t="shared" si="10"/>
        <v>2.4771212547196626</v>
      </c>
      <c r="AJ88" s="161">
        <f>AG87+AG88+AG89</f>
        <v>8.9542425094393252</v>
      </c>
      <c r="AK88" s="161">
        <f>AG87^2+AG88^2+AG89^2</f>
        <v>27.226501930607157</v>
      </c>
      <c r="AN88" s="161">
        <f>INDEX(MINVERSE(AJ87:AK88),2,1)</f>
        <v>-5.9653317059644682</v>
      </c>
      <c r="AO88" s="161">
        <f>INDEX(MINVERSE(AJ87:AK88),2,2)</f>
        <v>1.9986051415323987</v>
      </c>
      <c r="AR88" s="185">
        <f>AG87*AH87+AG88*AH88+AG89*AH89</f>
        <v>22.527646101730625</v>
      </c>
    </row>
    <row r="89" spans="5:44">
      <c r="E89" s="184">
        <v>100</v>
      </c>
      <c r="F89" s="161">
        <v>30</v>
      </c>
      <c r="G89" s="276">
        <f>INDEX(MMULT(AA87:AC89,AE87:AE89),3,1)</f>
        <v>0.24012765591352192</v>
      </c>
      <c r="J89" s="161">
        <v>3000</v>
      </c>
      <c r="K89" s="161">
        <v>890</v>
      </c>
      <c r="L89" s="277"/>
      <c r="T89" s="184">
        <f t="shared" si="9"/>
        <v>2</v>
      </c>
      <c r="U89" s="161">
        <f t="shared" si="9"/>
        <v>1.4771212547196624</v>
      </c>
      <c r="W89" s="161">
        <f>T87^2+T88^2+T89^2+T90^2</f>
        <v>13.022628786217448</v>
      </c>
      <c r="X89" s="161">
        <f>Y88</f>
        <v>28.104012674849244</v>
      </c>
      <c r="Y89" s="161">
        <f>T87^4+T88^4+T89^4+T90^4</f>
        <v>61.983964738743879</v>
      </c>
      <c r="AA89" s="161">
        <f>INDEX(MINVERSE(W87:Y89),3,1)</f>
        <v>0.22935107692054904</v>
      </c>
      <c r="AB89" s="161">
        <f>INDEX(MINVERSE(W87:Y89),3,2)</f>
        <v>-1.8413951029499331</v>
      </c>
      <c r="AC89" s="161">
        <f>INDEX(MINVERSE(W87:Y89),3,3)</f>
        <v>0.8028501820753845</v>
      </c>
      <c r="AE89" s="161">
        <f>U87*T87^2+U88*T88^2+U89*T89^2+U90*T90^2</f>
        <v>21.38347231835192</v>
      </c>
      <c r="AG89" s="161">
        <f t="shared" si="10"/>
        <v>3.4771212547196626</v>
      </c>
      <c r="AH89" s="161">
        <f t="shared" si="10"/>
        <v>2.9493900066449128</v>
      </c>
      <c r="AR89" s="185"/>
    </row>
    <row r="90" spans="5:44" ht="15" thickBot="1">
      <c r="E90" s="199">
        <v>300</v>
      </c>
      <c r="F90" s="200">
        <v>90</v>
      </c>
      <c r="G90" s="279"/>
      <c r="H90" s="200"/>
      <c r="I90" s="200"/>
      <c r="J90" s="200"/>
      <c r="K90" s="200"/>
      <c r="L90" s="285"/>
      <c r="T90" s="199">
        <f t="shared" si="9"/>
        <v>2.4771212547196626</v>
      </c>
      <c r="U90" s="200">
        <f t="shared" si="9"/>
        <v>1.954242509439325</v>
      </c>
      <c r="V90" s="200"/>
      <c r="W90" s="200"/>
      <c r="X90" s="200"/>
      <c r="Y90" s="200"/>
      <c r="Z90" s="200"/>
      <c r="AA90" s="200"/>
      <c r="AB90" s="200"/>
      <c r="AC90" s="200"/>
      <c r="AD90" s="200"/>
      <c r="AE90" s="200"/>
      <c r="AF90" s="200"/>
      <c r="AG90" s="200"/>
      <c r="AH90" s="200"/>
      <c r="AI90" s="200"/>
      <c r="AJ90" s="200"/>
      <c r="AK90" s="200"/>
      <c r="AL90" s="200"/>
      <c r="AM90" s="200"/>
      <c r="AN90" s="200"/>
      <c r="AO90" s="200"/>
      <c r="AP90" s="200"/>
      <c r="AQ90" s="200"/>
      <c r="AR90" s="202"/>
    </row>
    <row r="92" spans="5:44" ht="15" thickBot="1"/>
    <row r="93" spans="5:44">
      <c r="E93" s="286" t="s">
        <v>260</v>
      </c>
      <c r="F93" s="287"/>
      <c r="G93" s="168"/>
      <c r="H93" s="168"/>
      <c r="I93" s="168"/>
      <c r="J93" s="168"/>
      <c r="K93" s="168"/>
      <c r="L93" s="168"/>
      <c r="M93" s="168"/>
      <c r="N93" s="208"/>
    </row>
    <row r="94" spans="5:44">
      <c r="E94" s="184"/>
      <c r="N94" s="185"/>
    </row>
    <row r="95" spans="5:44">
      <c r="E95" s="288" t="s">
        <v>128</v>
      </c>
      <c r="F95" s="289" t="s">
        <v>129</v>
      </c>
      <c r="G95" s="290" t="s">
        <v>128</v>
      </c>
      <c r="H95" s="289" t="s">
        <v>129</v>
      </c>
      <c r="I95" s="183"/>
      <c r="J95" s="290" t="s">
        <v>128</v>
      </c>
      <c r="K95" s="289" t="s">
        <v>129</v>
      </c>
      <c r="L95" s="290" t="s">
        <v>128</v>
      </c>
      <c r="M95" s="289" t="s">
        <v>129</v>
      </c>
      <c r="N95" s="291">
        <v>1.0169999999999999</v>
      </c>
    </row>
    <row r="96" spans="5:44">
      <c r="E96" s="288" t="s">
        <v>130</v>
      </c>
      <c r="F96" s="289" t="s">
        <v>131</v>
      </c>
      <c r="G96" s="290" t="s">
        <v>130</v>
      </c>
      <c r="H96" s="289" t="s">
        <v>131</v>
      </c>
      <c r="I96" s="183"/>
      <c r="J96" s="290" t="s">
        <v>130</v>
      </c>
      <c r="K96" s="289" t="s">
        <v>131</v>
      </c>
      <c r="L96" s="290" t="s">
        <v>130</v>
      </c>
      <c r="M96" s="289" t="s">
        <v>131</v>
      </c>
      <c r="N96" s="291">
        <v>1.022</v>
      </c>
    </row>
    <row r="97" spans="5:14">
      <c r="E97" s="288"/>
      <c r="F97" s="290" t="s">
        <v>132</v>
      </c>
      <c r="G97" s="290"/>
      <c r="H97" s="290" t="s">
        <v>132</v>
      </c>
      <c r="I97" s="183"/>
      <c r="J97" s="290"/>
      <c r="K97" s="290" t="s">
        <v>132</v>
      </c>
      <c r="L97" s="290"/>
      <c r="M97" s="290" t="s">
        <v>132</v>
      </c>
      <c r="N97" s="185"/>
    </row>
    <row r="98" spans="5:14">
      <c r="E98" s="288">
        <v>1981</v>
      </c>
      <c r="F98" s="289">
        <v>0.51</v>
      </c>
      <c r="G98" s="290">
        <f>E107+1</f>
        <v>1991</v>
      </c>
      <c r="H98" s="289">
        <v>0.83699999999999997</v>
      </c>
      <c r="J98" s="290">
        <f>G107+1</f>
        <v>2001</v>
      </c>
      <c r="K98" s="289">
        <f>ROUND(H107*$N$95,3)</f>
        <v>1.0169999999999999</v>
      </c>
      <c r="L98" s="290">
        <f>J107+1</f>
        <v>2011</v>
      </c>
      <c r="M98" s="289">
        <f>K107*$N$96</f>
        <v>1.2519500000000001</v>
      </c>
      <c r="N98" s="185"/>
    </row>
    <row r="99" spans="5:14">
      <c r="E99" s="288">
        <f t="shared" ref="E99:E107" si="11">E98+1</f>
        <v>1982</v>
      </c>
      <c r="F99" s="289">
        <v>0.55900000000000005</v>
      </c>
      <c r="G99" s="290">
        <f t="shared" ref="G99:G107" si="12">G98+1</f>
        <v>1992</v>
      </c>
      <c r="H99" s="289">
        <v>0.86</v>
      </c>
      <c r="J99" s="290">
        <f t="shared" ref="J99:J107" si="13">J98+1</f>
        <v>2002</v>
      </c>
      <c r="K99" s="289">
        <f>ROUND(K98*$N$95,3)</f>
        <v>1.034</v>
      </c>
      <c r="L99" s="290">
        <f t="shared" ref="L99:L107" si="14">L98+1</f>
        <v>2012</v>
      </c>
      <c r="M99" s="289">
        <f t="shared" ref="M99:M107" si="15">M98*$N$96</f>
        <v>1.2794929000000002</v>
      </c>
      <c r="N99" s="185"/>
    </row>
    <row r="100" spans="5:14">
      <c r="E100" s="288">
        <f t="shared" si="11"/>
        <v>1983</v>
      </c>
      <c r="F100" s="289">
        <v>0.61</v>
      </c>
      <c r="G100" s="290">
        <f t="shared" si="12"/>
        <v>1993</v>
      </c>
      <c r="H100" s="289">
        <v>0.88300000000000001</v>
      </c>
      <c r="J100" s="290">
        <f t="shared" si="13"/>
        <v>2003</v>
      </c>
      <c r="K100" s="289">
        <f>ROUND(K99*$N$95,3)</f>
        <v>1.052</v>
      </c>
      <c r="L100" s="290">
        <f t="shared" si="14"/>
        <v>2013</v>
      </c>
      <c r="M100" s="289">
        <f t="shared" si="15"/>
        <v>1.3076417438000001</v>
      </c>
      <c r="N100" s="292"/>
    </row>
    <row r="101" spans="5:14">
      <c r="E101" s="288">
        <f t="shared" si="11"/>
        <v>1984</v>
      </c>
      <c r="F101" s="289">
        <v>0.65800000000000003</v>
      </c>
      <c r="G101" s="290">
        <f t="shared" si="12"/>
        <v>1994</v>
      </c>
      <c r="H101" s="289">
        <v>0.90100000000000002</v>
      </c>
      <c r="J101" s="290">
        <f t="shared" si="13"/>
        <v>2004</v>
      </c>
      <c r="K101" s="289">
        <f t="shared" ref="K101:K107" si="16">ROUND(K100*$N$96,3)</f>
        <v>1.075</v>
      </c>
      <c r="L101" s="290">
        <f t="shared" si="14"/>
        <v>2014</v>
      </c>
      <c r="M101" s="289">
        <f t="shared" si="15"/>
        <v>1.3364098621636</v>
      </c>
      <c r="N101" s="292"/>
    </row>
    <row r="102" spans="5:14">
      <c r="E102" s="288">
        <f t="shared" si="11"/>
        <v>1985</v>
      </c>
      <c r="F102" s="289">
        <v>0.68100000000000005</v>
      </c>
      <c r="G102" s="290">
        <f t="shared" si="12"/>
        <v>1995</v>
      </c>
      <c r="H102" s="289">
        <v>0.91800000000000004</v>
      </c>
      <c r="J102" s="290">
        <f t="shared" si="13"/>
        <v>2005</v>
      </c>
      <c r="K102" s="289">
        <f t="shared" si="16"/>
        <v>1.099</v>
      </c>
      <c r="L102" s="290">
        <f t="shared" si="14"/>
        <v>2015</v>
      </c>
      <c r="M102" s="289">
        <f t="shared" si="15"/>
        <v>1.3658108791311994</v>
      </c>
      <c r="N102" s="185"/>
    </row>
    <row r="103" spans="5:14">
      <c r="E103" s="288">
        <f t="shared" si="11"/>
        <v>1986</v>
      </c>
      <c r="F103" s="289">
        <v>0.7</v>
      </c>
      <c r="G103" s="290">
        <f t="shared" si="12"/>
        <v>1996</v>
      </c>
      <c r="H103" s="289">
        <v>0.93700000000000006</v>
      </c>
      <c r="J103" s="290">
        <f t="shared" si="13"/>
        <v>2006</v>
      </c>
      <c r="K103" s="289">
        <f t="shared" si="16"/>
        <v>1.123</v>
      </c>
      <c r="L103" s="290">
        <f t="shared" si="14"/>
        <v>2016</v>
      </c>
      <c r="M103" s="289">
        <f t="shared" si="15"/>
        <v>1.3958587184720859</v>
      </c>
      <c r="N103" s="185"/>
    </row>
    <row r="104" spans="5:14">
      <c r="E104" s="288">
        <f t="shared" si="11"/>
        <v>1987</v>
      </c>
      <c r="F104" s="289">
        <v>0.71899999999999997</v>
      </c>
      <c r="G104" s="290">
        <f t="shared" si="12"/>
        <v>1997</v>
      </c>
      <c r="H104" s="289">
        <v>0.95799999999999996</v>
      </c>
      <c r="J104" s="290">
        <f t="shared" si="13"/>
        <v>2007</v>
      </c>
      <c r="K104" s="289">
        <f t="shared" si="16"/>
        <v>1.1479999999999999</v>
      </c>
      <c r="L104" s="290">
        <f t="shared" si="14"/>
        <v>2017</v>
      </c>
      <c r="M104" s="289">
        <f t="shared" si="15"/>
        <v>1.4265676102784717</v>
      </c>
      <c r="N104" s="185"/>
    </row>
    <row r="105" spans="5:14">
      <c r="E105" s="288">
        <f t="shared" si="11"/>
        <v>1988</v>
      </c>
      <c r="F105" s="289">
        <v>0.74</v>
      </c>
      <c r="G105" s="290">
        <f t="shared" si="12"/>
        <v>1998</v>
      </c>
      <c r="H105" s="289">
        <v>0.97</v>
      </c>
      <c r="J105" s="290">
        <f t="shared" si="13"/>
        <v>2008</v>
      </c>
      <c r="K105" s="289">
        <f t="shared" si="16"/>
        <v>1.173</v>
      </c>
      <c r="L105" s="290">
        <f t="shared" si="14"/>
        <v>2018</v>
      </c>
      <c r="M105" s="289">
        <f t="shared" si="15"/>
        <v>1.4579520977045981</v>
      </c>
      <c r="N105" s="185"/>
    </row>
    <row r="106" spans="5:14">
      <c r="E106" s="288">
        <f t="shared" si="11"/>
        <v>1989</v>
      </c>
      <c r="F106" s="289">
        <v>0.77100000000000002</v>
      </c>
      <c r="G106" s="290">
        <f t="shared" si="12"/>
        <v>1999</v>
      </c>
      <c r="H106" s="289">
        <v>0.98399999999999999</v>
      </c>
      <c r="J106" s="290">
        <f t="shared" si="13"/>
        <v>2009</v>
      </c>
      <c r="K106" s="289">
        <f t="shared" si="16"/>
        <v>1.1990000000000001</v>
      </c>
      <c r="L106" s="290">
        <f t="shared" si="14"/>
        <v>2019</v>
      </c>
      <c r="M106" s="289">
        <f t="shared" si="15"/>
        <v>1.4900270438540992</v>
      </c>
      <c r="N106" s="185"/>
    </row>
    <row r="107" spans="5:14" ht="15" thickBot="1">
      <c r="E107" s="293">
        <f t="shared" si="11"/>
        <v>1990</v>
      </c>
      <c r="F107" s="294">
        <v>0.80200000000000005</v>
      </c>
      <c r="G107" s="295">
        <f t="shared" si="12"/>
        <v>2000</v>
      </c>
      <c r="H107" s="294">
        <v>1</v>
      </c>
      <c r="I107" s="200"/>
      <c r="J107" s="295">
        <f t="shared" si="13"/>
        <v>2010</v>
      </c>
      <c r="K107" s="294">
        <f t="shared" si="16"/>
        <v>1.2250000000000001</v>
      </c>
      <c r="L107" s="295">
        <f t="shared" si="14"/>
        <v>2020</v>
      </c>
      <c r="M107" s="294">
        <f t="shared" si="15"/>
        <v>1.5228076388188894</v>
      </c>
      <c r="N107" s="202"/>
    </row>
    <row r="109" spans="5:14" ht="15" thickBot="1">
      <c r="M109" s="296"/>
    </row>
    <row r="110" spans="5:14">
      <c r="E110" s="286" t="s">
        <v>261</v>
      </c>
      <c r="F110" s="287"/>
      <c r="G110" s="287"/>
      <c r="H110" s="168"/>
      <c r="I110" s="208"/>
      <c r="M110" s="296"/>
    </row>
    <row r="111" spans="5:14" ht="15" thickBot="1">
      <c r="E111" s="199"/>
      <c r="F111" s="200"/>
      <c r="G111" s="200"/>
      <c r="H111" s="200"/>
      <c r="I111" s="202"/>
    </row>
    <row r="112" spans="5:14">
      <c r="E112" s="297"/>
      <c r="F112" s="168"/>
      <c r="G112" s="298" t="s">
        <v>133</v>
      </c>
      <c r="H112" s="298" t="s">
        <v>134</v>
      </c>
      <c r="I112" s="299" t="s">
        <v>135</v>
      </c>
      <c r="M112" s="300" t="s">
        <v>262</v>
      </c>
      <c r="N112" s="208"/>
    </row>
    <row r="113" spans="5:18">
      <c r="E113" s="184"/>
      <c r="G113" s="290" t="s">
        <v>136</v>
      </c>
      <c r="H113" s="290" t="s">
        <v>137</v>
      </c>
      <c r="I113" s="301" t="s">
        <v>137</v>
      </c>
      <c r="M113" s="184"/>
      <c r="N113" s="185"/>
    </row>
    <row r="114" spans="5:18">
      <c r="E114" s="302" t="s">
        <v>4</v>
      </c>
      <c r="F114" s="303"/>
      <c r="G114" s="304">
        <v>0.4</v>
      </c>
      <c r="H114" s="305">
        <v>0.6</v>
      </c>
      <c r="I114" s="306">
        <f>1-H114</f>
        <v>0.4</v>
      </c>
      <c r="M114" s="307" t="s">
        <v>263</v>
      </c>
      <c r="N114" s="308" t="s">
        <v>264</v>
      </c>
      <c r="Q114" s="309"/>
      <c r="R114" s="309"/>
    </row>
    <row r="115" spans="5:18">
      <c r="E115" s="302" t="s">
        <v>138</v>
      </c>
      <c r="F115" s="303"/>
      <c r="G115" s="310">
        <f>SUM(G116:G122)</f>
        <v>0.99999999999999989</v>
      </c>
      <c r="H115" s="311">
        <f>SUMPRODUCT((G116:G122),(H116:H122))</f>
        <v>0.59983999999999993</v>
      </c>
      <c r="I115" s="312">
        <f>SUMPRODUCT((G116:G122),(I116:I122))</f>
        <v>0.40016000000000002</v>
      </c>
      <c r="M115" s="307" t="s">
        <v>265</v>
      </c>
      <c r="N115" s="308">
        <v>1000</v>
      </c>
      <c r="Q115" s="309"/>
      <c r="R115" s="313"/>
    </row>
    <row r="116" spans="5:18">
      <c r="E116" s="302"/>
      <c r="F116" s="303" t="s">
        <v>91</v>
      </c>
      <c r="G116" s="304">
        <v>0.184</v>
      </c>
      <c r="H116" s="305">
        <v>0.37</v>
      </c>
      <c r="I116" s="306">
        <f t="shared" ref="I116:I126" si="17">1-H116</f>
        <v>0.63</v>
      </c>
      <c r="M116" s="307" t="s">
        <v>266</v>
      </c>
      <c r="N116" s="308">
        <v>1000</v>
      </c>
      <c r="Q116" s="309"/>
      <c r="R116" s="313"/>
    </row>
    <row r="117" spans="5:18">
      <c r="E117" s="302"/>
      <c r="F117" s="303" t="s">
        <v>95</v>
      </c>
      <c r="G117" s="314">
        <v>0.17</v>
      </c>
      <c r="H117" s="315">
        <v>0.7</v>
      </c>
      <c r="I117" s="306">
        <f t="shared" si="17"/>
        <v>0.30000000000000004</v>
      </c>
      <c r="M117" s="307" t="s">
        <v>267</v>
      </c>
      <c r="N117" s="308">
        <v>1000</v>
      </c>
      <c r="Q117" s="309"/>
      <c r="R117" s="313"/>
    </row>
    <row r="118" spans="5:18">
      <c r="E118" s="302"/>
      <c r="F118" s="303" t="s">
        <v>67</v>
      </c>
      <c r="G118" s="304">
        <v>0.23300000000000001</v>
      </c>
      <c r="H118" s="305">
        <v>0.62</v>
      </c>
      <c r="I118" s="306">
        <f t="shared" si="17"/>
        <v>0.38</v>
      </c>
      <c r="M118" s="307" t="s">
        <v>268</v>
      </c>
      <c r="N118" s="308">
        <v>3500</v>
      </c>
      <c r="Q118" s="309"/>
      <c r="R118" s="316"/>
    </row>
    <row r="119" spans="5:18">
      <c r="E119" s="302"/>
      <c r="F119" s="303" t="s">
        <v>65</v>
      </c>
      <c r="G119" s="304">
        <v>8.4000000000000005E-2</v>
      </c>
      <c r="H119" s="305">
        <v>0.5</v>
      </c>
      <c r="I119" s="306">
        <f t="shared" si="17"/>
        <v>0.5</v>
      </c>
      <c r="M119" s="307"/>
      <c r="N119" s="308"/>
      <c r="Q119" s="309"/>
      <c r="R119" s="317"/>
    </row>
    <row r="120" spans="5:18">
      <c r="E120" s="302"/>
      <c r="F120" s="303" t="s">
        <v>90</v>
      </c>
      <c r="G120" s="304">
        <v>0.183</v>
      </c>
      <c r="H120" s="305">
        <v>0.7</v>
      </c>
      <c r="I120" s="306">
        <f t="shared" si="17"/>
        <v>0.30000000000000004</v>
      </c>
      <c r="M120" s="184"/>
      <c r="N120" s="185"/>
      <c r="Q120" s="309"/>
      <c r="R120" s="313"/>
    </row>
    <row r="121" spans="5:18">
      <c r="E121" s="302"/>
      <c r="F121" s="303" t="s">
        <v>92</v>
      </c>
      <c r="G121" s="304">
        <v>0.02</v>
      </c>
      <c r="H121" s="305">
        <v>0.5</v>
      </c>
      <c r="I121" s="306">
        <f t="shared" si="17"/>
        <v>0.5</v>
      </c>
      <c r="M121" s="184"/>
      <c r="N121" s="185"/>
      <c r="Q121" s="309"/>
      <c r="R121" s="313"/>
    </row>
    <row r="122" spans="5:18">
      <c r="E122" s="318"/>
      <c r="F122" s="303" t="s">
        <v>89</v>
      </c>
      <c r="G122" s="304">
        <v>0.126</v>
      </c>
      <c r="H122" s="315">
        <v>0.7</v>
      </c>
      <c r="I122" s="306">
        <f t="shared" si="17"/>
        <v>0.30000000000000004</v>
      </c>
      <c r="M122" s="184"/>
      <c r="N122" s="185"/>
      <c r="Q122" s="309"/>
      <c r="R122" s="313"/>
    </row>
    <row r="123" spans="5:18">
      <c r="E123" s="302" t="s">
        <v>139</v>
      </c>
      <c r="F123" s="303"/>
      <c r="G123" s="304">
        <v>0.13900000000000001</v>
      </c>
      <c r="H123" s="305">
        <v>0</v>
      </c>
      <c r="I123" s="306">
        <f t="shared" si="17"/>
        <v>1</v>
      </c>
      <c r="M123" s="307" t="s">
        <v>269</v>
      </c>
      <c r="N123" s="308"/>
      <c r="Q123" s="309"/>
      <c r="R123" s="313"/>
    </row>
    <row r="124" spans="5:18">
      <c r="E124" s="302" t="s">
        <v>140</v>
      </c>
      <c r="F124" s="303"/>
      <c r="G124" s="304">
        <v>0.22900000000000001</v>
      </c>
      <c r="H124" s="305">
        <v>0.5</v>
      </c>
      <c r="I124" s="306">
        <f t="shared" si="17"/>
        <v>0.5</v>
      </c>
      <c r="M124" s="307" t="s">
        <v>270</v>
      </c>
      <c r="N124" s="308">
        <v>800</v>
      </c>
      <c r="Q124" s="309"/>
      <c r="R124" s="313"/>
    </row>
    <row r="125" spans="5:18">
      <c r="E125" s="302" t="s">
        <v>141</v>
      </c>
      <c r="F125" s="303"/>
      <c r="G125" s="304">
        <v>6.6000000000000003E-2</v>
      </c>
      <c r="H125" s="305">
        <v>1</v>
      </c>
      <c r="I125" s="306">
        <f t="shared" si="17"/>
        <v>0</v>
      </c>
      <c r="M125" s="307" t="s">
        <v>105</v>
      </c>
      <c r="N125" s="308">
        <v>500</v>
      </c>
      <c r="Q125" s="309"/>
      <c r="R125" s="313"/>
    </row>
    <row r="126" spans="5:18" ht="15" thickBot="1">
      <c r="E126" s="319" t="s">
        <v>142</v>
      </c>
      <c r="F126" s="320"/>
      <c r="G126" s="321">
        <v>6.0999999999999999E-2</v>
      </c>
      <c r="H126" s="322">
        <v>0</v>
      </c>
      <c r="I126" s="323">
        <f t="shared" si="17"/>
        <v>1</v>
      </c>
      <c r="M126" s="307" t="s">
        <v>104</v>
      </c>
      <c r="N126" s="308">
        <v>1200</v>
      </c>
      <c r="Q126" s="309"/>
      <c r="R126" s="313"/>
    </row>
    <row r="127" spans="5:18">
      <c r="M127" s="307" t="s">
        <v>271</v>
      </c>
      <c r="N127" s="308">
        <v>200</v>
      </c>
      <c r="Q127" s="309"/>
      <c r="R127" s="313"/>
    </row>
    <row r="128" spans="5:18" ht="15" thickBot="1">
      <c r="M128" s="307" t="s">
        <v>272</v>
      </c>
      <c r="N128" s="308">
        <v>400</v>
      </c>
      <c r="Q128" s="309"/>
      <c r="R128" s="313"/>
    </row>
    <row r="129" spans="5:18">
      <c r="E129" s="286" t="s">
        <v>273</v>
      </c>
      <c r="F129" s="287"/>
      <c r="G129" s="168"/>
      <c r="H129" s="208"/>
      <c r="M129" s="307" t="s">
        <v>274</v>
      </c>
      <c r="N129" s="308">
        <v>2000</v>
      </c>
      <c r="Q129" s="309"/>
      <c r="R129" s="313"/>
    </row>
    <row r="130" spans="5:18">
      <c r="E130" s="184"/>
      <c r="H130" s="185"/>
      <c r="M130" s="307" t="s">
        <v>275</v>
      </c>
      <c r="N130" s="308">
        <v>300</v>
      </c>
      <c r="Q130" s="309"/>
      <c r="R130" s="316"/>
    </row>
    <row r="131" spans="5:18">
      <c r="E131" s="184" t="s">
        <v>143</v>
      </c>
      <c r="H131" s="324">
        <v>1.1000000000000001</v>
      </c>
      <c r="M131" s="307" t="s">
        <v>276</v>
      </c>
      <c r="N131" s="308">
        <v>2500</v>
      </c>
      <c r="Q131" s="309"/>
      <c r="R131" s="317"/>
    </row>
    <row r="132" spans="5:18">
      <c r="E132" s="184" t="s">
        <v>144</v>
      </c>
      <c r="H132" s="324">
        <v>1</v>
      </c>
      <c r="M132" s="184"/>
      <c r="N132" s="185"/>
      <c r="Q132" s="309"/>
      <c r="R132" s="313"/>
    </row>
    <row r="133" spans="5:18">
      <c r="E133" s="219" t="s">
        <v>145</v>
      </c>
      <c r="H133" s="324">
        <v>0.8</v>
      </c>
      <c r="M133" s="184"/>
      <c r="N133" s="185"/>
      <c r="Q133" s="309"/>
      <c r="R133" s="313"/>
    </row>
    <row r="134" spans="5:18">
      <c r="E134" s="219" t="s">
        <v>146</v>
      </c>
      <c r="H134" s="325">
        <v>0.5</v>
      </c>
      <c r="M134" s="184"/>
      <c r="N134" s="185"/>
      <c r="Q134" s="309"/>
      <c r="R134" s="313"/>
    </row>
    <row r="135" spans="5:18" ht="15" thickBot="1">
      <c r="E135" s="220" t="s">
        <v>147</v>
      </c>
      <c r="F135" s="200"/>
      <c r="G135" s="200"/>
      <c r="H135" s="326">
        <v>0.2</v>
      </c>
      <c r="M135" s="307" t="s">
        <v>277</v>
      </c>
      <c r="N135" s="308"/>
      <c r="Q135" s="309"/>
      <c r="R135" s="313"/>
    </row>
    <row r="136" spans="5:18">
      <c r="M136" s="307" t="s">
        <v>278</v>
      </c>
      <c r="N136" s="308">
        <v>2000</v>
      </c>
      <c r="Q136" s="309"/>
      <c r="R136" s="313"/>
    </row>
    <row r="137" spans="5:18">
      <c r="M137" s="307" t="s">
        <v>279</v>
      </c>
      <c r="N137" s="308">
        <v>8000</v>
      </c>
      <c r="Q137" s="309"/>
      <c r="R137" s="313"/>
    </row>
    <row r="138" spans="5:18">
      <c r="M138" s="307" t="s">
        <v>280</v>
      </c>
      <c r="N138" s="308">
        <v>800</v>
      </c>
      <c r="Q138" s="309"/>
      <c r="R138" s="313"/>
    </row>
    <row r="139" spans="5:18">
      <c r="M139" s="307" t="s">
        <v>281</v>
      </c>
      <c r="N139" s="308">
        <v>3500</v>
      </c>
      <c r="Q139" s="309"/>
      <c r="R139" s="313"/>
    </row>
    <row r="140" spans="5:18">
      <c r="M140" s="307" t="s">
        <v>282</v>
      </c>
      <c r="N140" s="308">
        <v>2000</v>
      </c>
      <c r="Q140" s="309"/>
      <c r="R140" s="313"/>
    </row>
    <row r="141" spans="5:18">
      <c r="M141" s="307" t="s">
        <v>283</v>
      </c>
      <c r="N141" s="308">
        <v>4000</v>
      </c>
      <c r="Q141" s="309"/>
      <c r="R141" s="313"/>
    </row>
    <row r="142" spans="5:18">
      <c r="M142" s="307" t="s">
        <v>284</v>
      </c>
      <c r="N142" s="308">
        <v>3000</v>
      </c>
      <c r="Q142" s="309"/>
      <c r="R142" s="313"/>
    </row>
    <row r="143" spans="5:18">
      <c r="M143" s="307" t="s">
        <v>285</v>
      </c>
      <c r="N143" s="308">
        <v>8500</v>
      </c>
      <c r="Q143" s="309"/>
      <c r="R143" s="316"/>
    </row>
    <row r="144" spans="5:18">
      <c r="M144" s="184"/>
      <c r="N144" s="185"/>
      <c r="Q144" s="309"/>
      <c r="R144" s="317"/>
    </row>
    <row r="145" spans="13:18">
      <c r="M145" s="184"/>
      <c r="N145" s="185"/>
      <c r="Q145" s="309"/>
      <c r="R145" s="313"/>
    </row>
    <row r="146" spans="13:18">
      <c r="M146" s="184"/>
      <c r="N146" s="185"/>
      <c r="Q146" s="309"/>
      <c r="R146" s="313"/>
    </row>
    <row r="147" spans="13:18">
      <c r="M147" s="307" t="s">
        <v>286</v>
      </c>
      <c r="N147" s="308"/>
      <c r="Q147" s="309"/>
      <c r="R147" s="313"/>
    </row>
    <row r="148" spans="13:18">
      <c r="M148" s="307" t="s">
        <v>287</v>
      </c>
      <c r="N148" s="308">
        <v>600</v>
      </c>
      <c r="Q148" s="309"/>
      <c r="R148" s="313"/>
    </row>
    <row r="149" spans="13:18">
      <c r="M149" s="307" t="s">
        <v>288</v>
      </c>
      <c r="N149" s="308">
        <v>800</v>
      </c>
      <c r="Q149" s="309"/>
      <c r="R149" s="313"/>
    </row>
    <row r="150" spans="13:18">
      <c r="M150" s="307" t="s">
        <v>289</v>
      </c>
      <c r="N150" s="308">
        <v>1200</v>
      </c>
      <c r="Q150" s="309"/>
      <c r="R150" s="313"/>
    </row>
    <row r="151" spans="13:18">
      <c r="M151" s="307" t="s">
        <v>290</v>
      </c>
      <c r="N151" s="308">
        <v>1500</v>
      </c>
      <c r="Q151" s="309"/>
      <c r="R151" s="316"/>
    </row>
    <row r="152" spans="13:18">
      <c r="M152" s="184"/>
      <c r="N152" s="185"/>
      <c r="Q152" s="309"/>
      <c r="R152" s="317"/>
    </row>
    <row r="153" spans="13:18">
      <c r="M153" s="184"/>
      <c r="N153" s="185"/>
      <c r="Q153" s="309"/>
      <c r="R153" s="313"/>
    </row>
    <row r="154" spans="13:18">
      <c r="M154" s="184"/>
      <c r="N154" s="185"/>
      <c r="Q154" s="309"/>
      <c r="R154" s="313"/>
    </row>
    <row r="155" spans="13:18">
      <c r="M155" s="307" t="s">
        <v>291</v>
      </c>
      <c r="N155" s="308"/>
      <c r="Q155" s="309"/>
      <c r="R155" s="313"/>
    </row>
    <row r="156" spans="13:18">
      <c r="M156" s="307" t="s">
        <v>292</v>
      </c>
      <c r="N156" s="308">
        <v>4000</v>
      </c>
      <c r="Q156" s="309"/>
      <c r="R156" s="313"/>
    </row>
    <row r="157" spans="13:18">
      <c r="M157" s="307" t="s">
        <v>293</v>
      </c>
      <c r="N157" s="308">
        <v>2500</v>
      </c>
      <c r="Q157" s="309"/>
      <c r="R157" s="313"/>
    </row>
    <row r="158" spans="13:18">
      <c r="M158" s="307" t="s">
        <v>294</v>
      </c>
      <c r="N158" s="308">
        <v>5000</v>
      </c>
      <c r="Q158" s="309"/>
      <c r="R158" s="316"/>
    </row>
    <row r="159" spans="13:18">
      <c r="M159" s="184"/>
      <c r="N159" s="185"/>
      <c r="Q159" s="309"/>
      <c r="R159" s="317"/>
    </row>
    <row r="160" spans="13:18">
      <c r="M160" s="184"/>
      <c r="N160" s="185"/>
      <c r="Q160" s="309"/>
      <c r="R160" s="313"/>
    </row>
    <row r="161" spans="13:18">
      <c r="M161" s="184"/>
      <c r="N161" s="185"/>
      <c r="Q161" s="309"/>
      <c r="R161" s="313"/>
    </row>
    <row r="162" spans="13:18">
      <c r="M162" s="307" t="s">
        <v>295</v>
      </c>
      <c r="N162" s="308"/>
      <c r="Q162" s="309"/>
      <c r="R162" s="313"/>
    </row>
    <row r="163" spans="13:18">
      <c r="M163" s="307" t="s">
        <v>296</v>
      </c>
      <c r="N163" s="308">
        <v>800</v>
      </c>
      <c r="Q163" s="309"/>
      <c r="R163" s="313"/>
    </row>
    <row r="164" spans="13:18">
      <c r="M164" s="307" t="s">
        <v>297</v>
      </c>
      <c r="N164" s="308">
        <v>1500</v>
      </c>
      <c r="Q164" s="309"/>
      <c r="R164" s="313"/>
    </row>
    <row r="165" spans="13:18">
      <c r="M165" s="307" t="s">
        <v>298</v>
      </c>
      <c r="N165" s="308">
        <v>1800</v>
      </c>
      <c r="Q165" s="309"/>
      <c r="R165" s="313"/>
    </row>
    <row r="166" spans="13:18">
      <c r="M166" s="307" t="s">
        <v>299</v>
      </c>
      <c r="N166" s="308">
        <v>1200</v>
      </c>
      <c r="Q166" s="309"/>
      <c r="R166" s="313"/>
    </row>
    <row r="167" spans="13:18">
      <c r="M167" s="307" t="s">
        <v>300</v>
      </c>
      <c r="N167" s="308">
        <v>2000</v>
      </c>
      <c r="Q167" s="309"/>
      <c r="R167" s="316"/>
    </row>
    <row r="168" spans="13:18">
      <c r="M168" s="184"/>
      <c r="N168" s="185"/>
      <c r="Q168" s="309"/>
      <c r="R168" s="317"/>
    </row>
    <row r="169" spans="13:18">
      <c r="M169" s="307"/>
      <c r="N169" s="308"/>
      <c r="Q169" s="309"/>
      <c r="R169" s="313"/>
    </row>
    <row r="170" spans="13:18">
      <c r="M170" s="184"/>
      <c r="N170" s="185"/>
      <c r="Q170" s="309"/>
      <c r="R170" s="313"/>
    </row>
    <row r="171" spans="13:18">
      <c r="M171" s="307" t="s">
        <v>158</v>
      </c>
      <c r="N171" s="308"/>
      <c r="Q171" s="309"/>
      <c r="R171" s="313"/>
    </row>
    <row r="172" spans="13:18">
      <c r="M172" s="307" t="s">
        <v>301</v>
      </c>
      <c r="N172" s="308">
        <v>3000</v>
      </c>
      <c r="Q172" s="309"/>
      <c r="R172" s="313"/>
    </row>
    <row r="173" spans="13:18">
      <c r="M173" s="307" t="s">
        <v>302</v>
      </c>
      <c r="N173" s="308">
        <v>1200</v>
      </c>
      <c r="Q173" s="309"/>
      <c r="R173" s="313"/>
    </row>
    <row r="174" spans="13:18" ht="15" thickBot="1">
      <c r="M174" s="327" t="s">
        <v>303</v>
      </c>
      <c r="N174" s="328">
        <v>800</v>
      </c>
      <c r="Q174" s="309"/>
      <c r="R174" s="316"/>
    </row>
    <row r="175" spans="13:18">
      <c r="Q175" s="309"/>
      <c r="R175" s="317"/>
    </row>
  </sheetData>
  <mergeCells count="12">
    <mergeCell ref="E51:F51"/>
    <mergeCell ref="U45:U46"/>
    <mergeCell ref="T45:T46"/>
    <mergeCell ref="V45:V46"/>
    <mergeCell ref="W45:W46"/>
    <mergeCell ref="X45:Y45"/>
    <mergeCell ref="Z45:AA45"/>
    <mergeCell ref="E1:M1"/>
    <mergeCell ref="E29:G29"/>
    <mergeCell ref="E38:F38"/>
    <mergeCell ref="R45:R46"/>
    <mergeCell ref="S45:S46"/>
  </mergeCells>
  <pageMargins left="0.75" right="0.75" top="1" bottom="1" header="0.5" footer="0.5"/>
  <pageSetup orientation="portrait" r:id="rId1"/>
  <headerFooter alignWithMargins="0"/>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C24A7-791F-4B66-91A1-6987666ABA9E}">
  <sheetPr>
    <tabColor theme="0" tint="-0.249977111117893"/>
  </sheetPr>
  <dimension ref="B1:C9"/>
  <sheetViews>
    <sheetView workbookViewId="0">
      <selection activeCell="C14" sqref="C14"/>
    </sheetView>
  </sheetViews>
  <sheetFormatPr defaultRowHeight="12.6"/>
  <cols>
    <col min="1" max="1" width="8.9375" style="609"/>
    <col min="2" max="2" width="50.29296875" style="609" customWidth="1"/>
    <col min="3" max="3" width="55.52734375" style="609" bestFit="1" customWidth="1"/>
    <col min="4" max="16384" width="8.9375" style="609"/>
  </cols>
  <sheetData>
    <row r="1" spans="2:3" s="618" customFormat="1"/>
    <row r="2" spans="2:3">
      <c r="B2" s="616" t="s">
        <v>539</v>
      </c>
      <c r="C2" s="617"/>
    </row>
    <row r="3" spans="2:3" ht="39.6" customHeight="1">
      <c r="B3" s="610" t="s">
        <v>538</v>
      </c>
      <c r="C3" s="610"/>
    </row>
    <row r="4" spans="2:3">
      <c r="B4" s="611"/>
      <c r="C4" s="614"/>
    </row>
    <row r="5" spans="2:3">
      <c r="B5" s="612" t="s">
        <v>535</v>
      </c>
      <c r="C5" s="615" t="s">
        <v>533</v>
      </c>
    </row>
    <row r="6" spans="2:3">
      <c r="B6" s="612" t="s">
        <v>536</v>
      </c>
      <c r="C6" s="615" t="s">
        <v>534</v>
      </c>
    </row>
    <row r="7" spans="2:3">
      <c r="B7" s="611"/>
      <c r="C7" s="614"/>
    </row>
    <row r="8" spans="2:3">
      <c r="B8" s="611"/>
      <c r="C8" s="614"/>
    </row>
    <row r="9" spans="2:3">
      <c r="B9" s="613" t="s">
        <v>537</v>
      </c>
      <c r="C9" s="613"/>
    </row>
  </sheetData>
  <mergeCells count="2">
    <mergeCell ref="B3:C3"/>
    <mergeCell ref="B9:C9"/>
  </mergeCells>
  <hyperlinks>
    <hyperlink ref="C5" r:id="rId1" xr:uid="{D26C928C-0AF2-456E-852C-CEE35E59B452}"/>
    <hyperlink ref="C6" r:id="rId2" xr:uid="{AF884F7E-2546-4980-B7A0-DA531F341431}"/>
    <hyperlink ref="B9:C9" r:id="rId3" display="Source: AMSAT-UK - Tools for Spacecraft and Communication Design" xr:uid="{4C9599F9-0F90-414D-9D73-ED58AD91C433}"/>
  </hyperlinks>
  <pageMargins left="0.7" right="0.7" top="0.75" bottom="0.75" header="0.3" footer="0.3"/>
  <pageSetup paperSize="9" orientation="portrait"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14</vt:i4>
      </vt:variant>
      <vt:variant>
        <vt:lpstr>Named Ranges</vt:lpstr>
      </vt:variant>
      <vt:variant>
        <vt:i4>55</vt:i4>
      </vt:variant>
    </vt:vector>
  </HeadingPairs>
  <TitlesOfParts>
    <vt:vector size="69" baseType="lpstr">
      <vt:lpstr>Workbook Description</vt:lpstr>
      <vt:lpstr>Cover</vt:lpstr>
      <vt:lpstr>Change Log</vt:lpstr>
      <vt:lpstr>Objectives</vt:lpstr>
      <vt:lpstr>Comm - Uplink</vt:lpstr>
      <vt:lpstr>Comm - Downlink</vt:lpstr>
      <vt:lpstr>Comm - Interlink</vt:lpstr>
      <vt:lpstr>Modes</vt:lpstr>
      <vt:lpstr>ESA Ground Systems</vt:lpstr>
      <vt:lpstr>Trade_off</vt:lpstr>
      <vt:lpstr>ProductTreeMain</vt:lpstr>
      <vt:lpstr>Antenna Design</vt:lpstr>
      <vt:lpstr>Constants</vt:lpstr>
      <vt:lpstr>Further Material</vt:lpstr>
      <vt:lpstr>Avg_Solar_Flux</vt:lpstr>
      <vt:lpstr>Constants!Boltzmann_Constant</vt:lpstr>
      <vt:lpstr>Boltzmann_Constant</vt:lpstr>
      <vt:lpstr>c0</vt:lpstr>
      <vt:lpstr>Constants!Earth_J2</vt:lpstr>
      <vt:lpstr>Earth_J2</vt:lpstr>
      <vt:lpstr>Constants!Earth_Mag_Moment</vt:lpstr>
      <vt:lpstr>Earth_Mag_Moment</vt:lpstr>
      <vt:lpstr>Constants!Earth_Mu</vt:lpstr>
      <vt:lpstr>Earth_Mu</vt:lpstr>
      <vt:lpstr>Earth_OrbitRadius</vt:lpstr>
      <vt:lpstr>Earth_OrbPeriod</vt:lpstr>
      <vt:lpstr>Constants!Earth_Radius</vt:lpstr>
      <vt:lpstr>Earth_Radius</vt:lpstr>
      <vt:lpstr>Earth_SidDay</vt:lpstr>
      <vt:lpstr>Earth_SolarDay</vt:lpstr>
      <vt:lpstr>Constants!Earth_Vel</vt:lpstr>
      <vt:lpstr>Earth_Vel</vt:lpstr>
      <vt:lpstr>Max_Solar_Flux</vt:lpstr>
      <vt:lpstr>mu</vt:lpstr>
      <vt:lpstr>Constants!Planck_Constant</vt:lpstr>
      <vt:lpstr>Planck_Constant</vt:lpstr>
      <vt:lpstr>Planet_Albedo</vt:lpstr>
      <vt:lpstr>Planet_J2</vt:lpstr>
      <vt:lpstr>Planet_Mag_Moment</vt:lpstr>
      <vt:lpstr>Planet_MaxIR</vt:lpstr>
      <vt:lpstr>Planet_MinIR</vt:lpstr>
      <vt:lpstr>Planet_MoonNode</vt:lpstr>
      <vt:lpstr>Planet_MoonPer</vt:lpstr>
      <vt:lpstr>Planet_Mu</vt:lpstr>
      <vt:lpstr>Planet_OrbitRadius</vt:lpstr>
      <vt:lpstr>Planet_OrbPeriod</vt:lpstr>
      <vt:lpstr>Planet_Radius</vt:lpstr>
      <vt:lpstr>Planet_SidDay</vt:lpstr>
      <vt:lpstr>Planet_SolarDay</vt:lpstr>
      <vt:lpstr>Planet_SunNode</vt:lpstr>
      <vt:lpstr>Planet_SunPer</vt:lpstr>
      <vt:lpstr>Planet_Vel</vt:lpstr>
      <vt:lpstr>plank</vt:lpstr>
      <vt:lpstr>'Comm - Downlink'!Print_Area</vt:lpstr>
      <vt:lpstr>'Comm - Interlink'!Print_Area</vt:lpstr>
      <vt:lpstr>'Comm - Uplink'!Print_Area</vt:lpstr>
      <vt:lpstr>RadToDeg</vt:lpstr>
      <vt:lpstr>Constants!Rain_Temp</vt:lpstr>
      <vt:lpstr>Rain_Temp</vt:lpstr>
      <vt:lpstr>Re</vt:lpstr>
      <vt:lpstr>Constants!Solar_Flux</vt:lpstr>
      <vt:lpstr>Solar_Flux</vt:lpstr>
      <vt:lpstr>Constants!Speed_of_Light</vt:lpstr>
      <vt:lpstr>Speed_of_Light</vt:lpstr>
      <vt:lpstr>Constants!Stefan_Boltzmann_Constant</vt:lpstr>
      <vt:lpstr>Stefan_Boltzmann_Constant</vt:lpstr>
      <vt:lpstr>Stefan_Boltzmann_Constants</vt:lpstr>
      <vt:lpstr>Sun_Mu</vt:lpstr>
      <vt:lpstr>ve</vt:lpstr>
    </vt:vector>
  </TitlesOfParts>
  <Company>ISU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Paulo Esteves</dc:creator>
  <cp:lastModifiedBy>Daniel Wischert</cp:lastModifiedBy>
  <cp:lastPrinted>2010-02-24T17:16:32Z</cp:lastPrinted>
  <dcterms:created xsi:type="dcterms:W3CDTF">2009-07-23T15:08:11Z</dcterms:created>
  <dcterms:modified xsi:type="dcterms:W3CDTF">2022-03-30T16:31:09Z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Identifier">
    <vt:lpwstr>{"EngineeringModel":"409f499b-78c5-4cc4-9b11-9e0c219e4ec6","DomainOfExpertise":"8790fe92-d1fa-42ea-9520-e0ddac52f1ad"}</vt:lpwstr>
  </property>
  <property fmtid="{D5CDD505-2E9C-101B-9397-08002B2CF9AE}" pid="3" name="MSIP_Label_3976fa30-1907-4356-8241-62ea5e1c0256_Enabled">
    <vt:lpwstr>true</vt:lpwstr>
  </property>
  <property fmtid="{D5CDD505-2E9C-101B-9397-08002B2CF9AE}" pid="4" name="MSIP_Label_3976fa30-1907-4356-8241-62ea5e1c0256_SetDate">
    <vt:lpwstr>2022-03-30T13:24:18Z</vt:lpwstr>
  </property>
  <property fmtid="{D5CDD505-2E9C-101B-9397-08002B2CF9AE}" pid="5" name="MSIP_Label_3976fa30-1907-4356-8241-62ea5e1c0256_Method">
    <vt:lpwstr>Standard</vt:lpwstr>
  </property>
  <property fmtid="{D5CDD505-2E9C-101B-9397-08002B2CF9AE}" pid="6" name="MSIP_Label_3976fa30-1907-4356-8241-62ea5e1c0256_Name">
    <vt:lpwstr>ESA UNCLASSIFIED – For ESA Official Use Only</vt:lpwstr>
  </property>
  <property fmtid="{D5CDD505-2E9C-101B-9397-08002B2CF9AE}" pid="7" name="MSIP_Label_3976fa30-1907-4356-8241-62ea5e1c0256_SiteId">
    <vt:lpwstr>9a5cacd0-2bef-4dd7-ac5c-7ebe1f54f495</vt:lpwstr>
  </property>
  <property fmtid="{D5CDD505-2E9C-101B-9397-08002B2CF9AE}" pid="8" name="MSIP_Label_3976fa30-1907-4356-8241-62ea5e1c0256_ActionId">
    <vt:lpwstr>56fa5785-1c78-4fe3-b8cf-a98c3112b52d</vt:lpwstr>
  </property>
  <property fmtid="{D5CDD505-2E9C-101B-9397-08002B2CF9AE}" pid="9" name="MSIP_Label_3976fa30-1907-4356-8241-62ea5e1c0256_ContentBits">
    <vt:lpwstr>0</vt:lpwstr>
  </property>
</Properties>
</file>